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  <sheet name="Extension max" sheetId="5" r:id="rId8"/>
    <sheet name="Surélévation" sheetId="6" r:id="rId9"/>
    <sheet name="Extension + rénovati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<sst xmlns="http://schemas.openxmlformats.org/spreadsheetml/2006/main" uniqueCount="225">
  <si>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Hypothèses : annonce 9225 · Aspremont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</si>
  <si>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</si>
  <si>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</si>
  <si>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</si>
  <si>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</si>
  <si>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</si>
  <si>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</si>
  <si>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</si>
  <si>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</si>
  <si>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</si>
  <si>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</si>
  <si>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</si>
  <si>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</si>
  <si>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</si>
  <si>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</si>
  <si>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</si>
  <si>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</si>
  <si>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</si>
  <si>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</si>
  <si>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</si>
  <si>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</si>
  <si>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</si>
  <si>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</si>
  <si>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274 m², 80 m²)</t>
  </si>
  <si>
    <t>Extension maximale</t>
  </si>
  <si>
    <t>Calcul PLU : emprise restante 274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</si>
  <si>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</si>
  <si>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</si>
  <si>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</si>
  <si>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</si>
  <si>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</si>
  <si>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</si>
  <si>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</si>
  <si>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40,5 %,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</si>
  <si>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</si>
  <si>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</si>
  <si>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</si>
  <si>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</si>
  <si>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</si>
  <si>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</si>
  <si>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</si>
  <si>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</si>
  <si>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</si>
  <si>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</si>
  <si>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</si>
  <si>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</si>
  <si>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</si>
  <si>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</si>
  <si>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</si>
  <si>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</si>
  <si>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</si>
  <si>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</si>
  <si>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</si>
  <si>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</si>
  <si>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</si>
  <si>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</si>
  <si>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</si>
  <si>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</si>
  <si>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</si>
  <si>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</si>
  <si>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</si>
  <si>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</si>
  <si>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</si>
  <si>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</si>
  <si>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</si>
  <si>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</si>
  <si>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</si>
  <si>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</si>
  <si>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</si>
  <si>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</si>
  <si>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</si>
  <si>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</si>
  <si>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</si>
  <si>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</si>
  <si>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</si>
  <si>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</si>
  <si>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</si>
  <si>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</si>
  <si>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</si>
  <si>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</si>
  <si>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559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</si>
  <si>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</si>
  <si>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</si>
  <si>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</si>
  <si>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(20 ventes)</t>
  </si>
  <si>
    <t>Prix de vente TTC du neuf : médian</t>
  </si>
  <si>
    <t>Médiane : DVF VEFA 5 ans de la commune et des voisines (10 km) (20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</si>
  <si>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</si>
  <si>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</si>
  <si>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</si>
  <si>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</si>
  <si>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</si>
  <si>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</si>
  <si>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</si>
  <si>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</si>
  <si>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</si>
  <si>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</si>
  <si>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</si>
  <si>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(821 000 €)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</si>
  <si>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</si>
  <si>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</si>
  <si>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</si>
  <si>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</si>
  <si>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</si>
  <si>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</si>
  <si>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41 %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</si>
  <si>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</si>
  <si>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</si>
  <si>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</si>
  <si>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</si>
  <si>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</si>
  <si>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</si>
  <si>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</si>
  <si>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</si>
  <si>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</si>
  <si>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</si>
  <si>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</si>
  <si>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</si>
  <si>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</si>
  <si>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</si>
  <si>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</si>
  <si>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</si>
  <si>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</si>
  <si>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</si>
  <si>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</si>
  <si>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</si>
  <si>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</si>
  <si>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</si>
  <si>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</si>
  <si>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</si>
  <si>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</si>
  <si>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</si>
  <si>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</si>
  <si>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</si>
  <si>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</si>
  <si>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</si>
  <si>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</si>
  <si>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</si>
  <si>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</si>
  <si>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</si>
  <si>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</si>
  <si>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</si>
  <si>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</si>
  <si>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</si>
  <si>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</si>
  <si>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</si>
  <si>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</si>
  <si>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9225 · Aspremont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</si>
  <si>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</si>
  <si>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</si>
  <si>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</si>
  <si>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</si>
  <si>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</si>
  <si>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</si>
  <si>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</si>
  <si>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</si>
  <si>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</si>
  <si>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</si>
  <si>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</si>
  <si>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</si>
  <si>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</si>
  <si>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274 m² (559 m² autorisés, moins piscine 30 m² et bâti existant 232 m² (BD TOPO) + 10 % de terrasses, soit 255 m²). 438 m² supposent 2 niveaux en gradins sur une pente de 40,5 % : coûteux, et l'ABF (site inscrit) peut réduire le projet.</t>
  </si>
  <si>
    <t>Surélévation</t>
  </si>
  <si>
    <t>Un étage sur le bâti existant (120 m² créés) : le plancher résiduel autorisé le permet, la structure et la hauteur sont à vérifier.</t>
  </si>
  <si>
    <t>Extension + rénovation</t>
  </si>
  <si>
    <t>Extension prudente de 80 m² de plain-pied et rénovation lourde des 138 m² existants. Reste soumis à l'avis de l'ABF (site inscrit), mais sans gradins.</t>
  </si>
  <si>
    <t>Division parcellaire</t>
  </si>
  <si>
    <t>Impossible</t>
  </si>
  <si>
    <t>Unité foncière de 2 796 m², sous le seuil de 800 m², lot détaché inférieur à 300 m² ou prix du terrain à bâtir inconnu : division non retenue.</t>
  </si>
  <si>
    <t>non chiffré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</si>
  <si>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</si>
  <si>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</si>
  <si>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</si>
  <si>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</si>
  <si>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</si>
  <si>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</si>
  <si>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UFb4),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</si>
  <si>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</si>
  <si>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</si>
  <si>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</si>
  <si>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</si>
  <si>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</si>
  <si>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</si>
  <si>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</si>
  <si>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</si>
  <si>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</si>
  <si>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</si>
  <si>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</si>
  <si>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</si>
  <si>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</si>
  <si>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</si>
  <si>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</si>
  <si>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</si>
  <si>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</si>
  <si>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</si>
  <si>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</si>
  <si>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</si>
  <si>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</si>
  <si>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</si>
  <si>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</si>
  <si>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</si>
  <si>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</si>
  <si>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</si>
  <si>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</si>
  <si>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274 m² (559 m² autorisés, moins piscine 30 m² et bâti existant 232 m² (BD TOPO) + 10 % de terrasses, soit 255 m²). 438 m² supposent 2 niveaux en gradins sur une pente de 40,5 %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</si>
  <si>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</si>
  <si>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</si>
  <si>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</si>
  <si>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</si>
  <si>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</si>
  <si>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40,5 %</t>
  </si>
  <si>
    <t>Honoraires architecte + bureaux d'études</t>
  </si>
  <si>
    <t>Architecte obligatoire (&gt; 150 m² de plancher)</t>
  </si>
  <si>
    <t>Surface créée × valeur forfaitaire × taux</t>
  </si>
  <si>
    <t>Statut : limité. Un étage sur le bâti existant (120 m² créés) : le plancher résiduel autorisé le permet, la structure et la hauteur sont à vérifier.</t>
  </si>
  <si>
    <t>Recette : maison surélevée</t>
  </si>
  <si>
    <t>Surface totale × prix de revente</t>
  </si>
  <si>
    <t>Travaux de surélévation</t>
  </si>
  <si>
    <t>Coût d'extension + 20 %</t>
  </si>
  <si>
    <t>Architecte obligatoire</t>
  </si>
  <si>
    <t>Statut : possible. Extension prudente de 80 m² de plain-pied et rénovation lourde des 138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</si>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</sst>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821000.0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3190.0</v>
      </c>
      <c r="D9" t="s">
        <v>16</v>
      </c>
    </row>
    <row r="10" spans="1:4">
      <c r="A10" t="s">
        <v>17</v>
      </c>
      <c r="B10" t="s">
        <v>15</v>
      </c>
      <c r="C10" s="6">
        <v>4820.0</v>
      </c>
      <c r="D10" t="s">
        <v>16</v>
      </c>
    </row>
    <row r="11" spans="1:4">
      <c r="A11" t="s">
        <v>18</v>
      </c>
      <c r="B11" t="s">
        <v>15</v>
      </c>
      <c r="C11" s="6">
        <v>5310.0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138</v>
      </c>
      <c r="D13" t="s">
        <v>9</v>
      </c>
    </row>
    <row r="14" spans="1:4">
      <c r="A14" t="s">
        <v>22</v>
      </c>
      <c r="B14" t="s">
        <v>21</v>
      </c>
      <c r="C14" s="6">
        <v>80</v>
      </c>
      <c r="D14" t="s">
        <v>23</v>
      </c>
    </row>
    <row r="15" spans="1:4">
      <c r="A15" t="s">
        <v>24</v>
      </c>
      <c r="B15" t="s">
        <v>21</v>
      </c>
      <c r="C15" s="6">
        <v>438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120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719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4900.0</v>
      </c>
      <c r="D48" t="s">
        <v>84</v>
      </c>
    </row>
    <row r="49" spans="1:4">
      <c r="A49" t="s">
        <v>85</v>
      </c>
      <c r="B49" t="s">
        <v>15</v>
      </c>
      <c r="C49" s="6">
        <v>5400.0</v>
      </c>
      <c r="D49" t="s">
        <v>86</v>
      </c>
    </row>
    <row r="50" spans="1:4">
      <c r="A50" t="s">
        <v>87</v>
      </c>
      <c r="B50" t="s">
        <v>15</v>
      </c>
      <c r="C50" s="6">
        <v>6500.0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797000</v>
      </c>
      <c r="D55" t="s">
        <v>98</v>
      </c>
    </row>
    <row r="56" spans="1:4">
      <c r="A56" t="s">
        <v>99</v>
      </c>
      <c r="B56" t="s">
        <v>8</v>
      </c>
      <c r="C56" s="5">
        <v>33000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2468000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27000</v>
      </c>
      <c r="D62" t="s">
        <v>111</v>
      </c>
    </row>
    <row r="63" spans="1:4">
      <c r="A63" t="s">
        <v>112</v>
      </c>
      <c r="B63" t="s">
        <v>8</v>
      </c>
      <c r="C63" s="5">
        <v>72000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130000</v>
      </c>
      <c r="D68" t="s">
        <v>111</v>
      </c>
    </row>
    <row r="69" spans="1:4">
      <c r="A69" t="s">
        <v>121</v>
      </c>
      <c r="B69" t="s">
        <v>8</v>
      </c>
      <c r="C69" s="5">
        <v>123000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36000</v>
      </c>
      <c r="D71" t="s">
        <v>126</v>
      </c>
    </row>
    <row r="72" spans="1:4">
      <c r="A72" t="s">
        <v>127</v>
      </c>
      <c r="B72" t="s">
        <v>8</v>
      </c>
      <c r="C72" s="5">
        <v>74000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175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-744706.064999999944121</v>
      </c>
      <c r="E5" s="10">
        <f>'Rénover-revendre'!I18</f>
        <v>-526514.26499999989755</v>
      </c>
      <c r="F5" s="10">
        <f>'Rénover-revendre'!L18</f>
        <v>-460922.86499999975786</v>
      </c>
      <c r="G5" s="13">
        <f>'Rénover-revendre'!F19</f>
        <v>-1.69166795011585</v>
      </c>
      <c r="H5" s="13">
        <f>'Rénover-revendre'!I19</f>
        <v>-0.79156032383186</v>
      </c>
      <c r="I5" s="13">
        <f>'Rénover-revendre'!L19</f>
        <v>-0.62900579300745</v>
      </c>
      <c r="J5" s="10">
        <f>'Rénover-revendre'!F20</f>
        <v>106062.5529100530548</v>
      </c>
      <c r="K5" s="10">
        <f>'Rénover-revendre'!I20</f>
        <v>268717.579365079524</v>
      </c>
      <c r="L5" s="10">
        <f>'Rénover-revendre'!L20</f>
        <v>317613.8756613759324</v>
      </c>
      <c r="M5">
        <f>IF(OR(B5="Improbable",B5="Impossible"),-1E+15,IF(ISNUMBER(E5),E5,-1E+15))</f>
        <v>-526514.26499999989755</v>
      </c>
    </row>
    <row r="6" spans="1:13" customHeight="1" ht="62">
      <c r="A6" t="s">
        <v>24</v>
      </c>
      <c r="B6" t="s">
        <v>160</v>
      </c>
      <c r="C6" s="7" t="s">
        <v>161</v>
      </c>
      <c r="D6" s="10">
        <f>'Extension max'!F21</f>
        <v>-1041959.625</v>
      </c>
      <c r="E6" s="10">
        <f>'Extension max'!I21</f>
        <v>-131246.024999999906868</v>
      </c>
      <c r="F6" s="10">
        <f>'Extension max'!L21</f>
        <v>142526.77500000037253</v>
      </c>
      <c r="G6" s="13">
        <f>'Extension max'!F22</f>
        <v>-0.56707137375914</v>
      </c>
      <c r="H6" s="13">
        <f>'Extension max'!I22</f>
        <v>-0.04727337806881</v>
      </c>
      <c r="I6" s="13">
        <f>'Extension max'!L22</f>
        <v>0.046599306536409</v>
      </c>
      <c r="J6" s="10">
        <f>'Extension max'!F23</f>
        <v>-305133.012820512987673</v>
      </c>
      <c r="K6" s="10">
        <f>'Extension max'!I23</f>
        <v>352885.4487179487478</v>
      </c>
      <c r="L6" s="10">
        <f>'Extension max'!L23</f>
        <v>550694.67948717973195</v>
      </c>
      <c r="M6">
        <f>IF(OR(B6="Improbable",B6="Impossible"),-1E+15,IF(ISNUMBER(E6),E6,-1E+15))</f>
        <v>-131246.024999999906868</v>
      </c>
    </row>
    <row r="7" spans="1:13" customHeight="1" ht="62">
      <c r="A7" t="s">
        <v>162</v>
      </c>
      <c r="B7" t="s">
        <v>160</v>
      </c>
      <c r="C7" s="7" t="s">
        <v>163</v>
      </c>
      <c r="D7" s="10">
        <f>'Surélévation'!F19</f>
        <v>-703890.60000000009313</v>
      </c>
      <c r="E7" s="10">
        <f>'Surélévation'!I19</f>
        <v>-295966.80000000004657</v>
      </c>
      <c r="F7" s="10">
        <f>'Surélévation'!L19</f>
        <v>-173339.39999999990687</v>
      </c>
      <c r="G7" s="13">
        <f>'Surélévation'!F20</f>
        <v>-0.85525333527739</v>
      </c>
      <c r="H7" s="13">
        <f>'Surélévation'!I20</f>
        <v>-0.23799961401139</v>
      </c>
      <c r="I7" s="13">
        <f>'Surélévation'!L20</f>
        <v>-0.12652695659791</v>
      </c>
      <c r="J7" s="10">
        <f>'Surélévation'!F21</f>
        <v>113868.71794871788006</v>
      </c>
      <c r="K7" s="10">
        <f>'Surélévation'!I21</f>
        <v>408606.1538461537566</v>
      </c>
      <c r="L7" s="10">
        <f>'Surélévation'!L21</f>
        <v>497208.20512820518343</v>
      </c>
      <c r="M7">
        <f>IF(OR(B7="Improbable",B7="Impossible"),-1E+15,IF(ISNUMBER(E7),E7,-1E+15))</f>
        <v>-295966.80000000004657</v>
      </c>
    </row>
    <row r="8" spans="1:13" customHeight="1" ht="62">
      <c r="A8" t="s">
        <v>164</v>
      </c>
      <c r="B8" t="s">
        <v>158</v>
      </c>
      <c r="C8" s="7" t="s">
        <v>165</v>
      </c>
      <c r="D8" s="10">
        <f>'Extension + rénovation'!F22</f>
        <v>-883368.72500000009313</v>
      </c>
      <c r="E8" s="10">
        <f>'Extension + rénovation'!I22</f>
        <v>-538688.92500000004657</v>
      </c>
      <c r="F8" s="10">
        <f>'Extension + rénovation'!L22</f>
        <v>-435073.52499999990687</v>
      </c>
      <c r="G8" s="13">
        <f>'Extension + rénovation'!F23</f>
        <v>-1.27026649362975</v>
      </c>
      <c r="H8" s="13">
        <f>'Extension + rénovation'!I23</f>
        <v>-0.51266599889604</v>
      </c>
      <c r="I8" s="13">
        <f>'Extension + rénovation'!L23</f>
        <v>-0.3758474792239</v>
      </c>
      <c r="J8" s="10">
        <f>'Extension + rénovation'!F24</f>
        <v>-23172.41452991461847</v>
      </c>
      <c r="K8" s="10">
        <f>'Extension + rénovation'!I24</f>
        <v>225869.29487179475836</v>
      </c>
      <c r="L8" s="10">
        <f>'Extension + rénovation'!L24</f>
        <v>300734.59401709405938</v>
      </c>
      <c r="M8">
        <f>IF(OR(B8="Improbable",B8="Impossible"),-1E+15,IF(ISNUMBER(E8),E8,-1E+15))</f>
        <v>-538688.92500000004657</v>
      </c>
    </row>
    <row r="9" spans="1:13" customHeight="1" ht="62">
      <c r="A9" t="s">
        <v>166</v>
      </c>
      <c r="B9" t="s">
        <v>167</v>
      </c>
      <c r="C9" s="7" t="s">
        <v>168</v>
      </c>
      <c r="D9" t="s">
        <v>169</v>
      </c>
      <c r="M9">
        <f>IF(OR(B9="Improbable",B9="Impossible"),-1E+15,IF(ISNUMBER(E9),E9,-1E+15))</f>
        <v>-1.0E+15</v>
      </c>
    </row>
    <row r="10" spans="1:13" customHeight="1" ht="62">
      <c r="A10" t="s">
        <v>170</v>
      </c>
      <c r="B10" t="s">
        <v>167</v>
      </c>
      <c r="C10" s="7" t="s">
        <v>171</v>
      </c>
      <c r="D10" t="s">
        <v>169</v>
      </c>
      <c r="M10">
        <f>IF(OR(B10="Improbable",B10="Impossible"),-1E+15,IF(ISNUMBER(E10),E10,-1E+15))</f>
        <v>-1.0E+15</v>
      </c>
    </row>
    <row r="11" spans="1:13" customHeight="1" ht="62">
      <c r="A11" t="s">
        <v>172</v>
      </c>
      <c r="B11" t="s">
        <v>167</v>
      </c>
      <c r="C11" s="7" t="s">
        <v>173</v>
      </c>
      <c r="D11" t="s">
        <v>169</v>
      </c>
      <c r="M11">
        <f>IF(OR(B11="Improbable",B11="Impossible"),-1E+15,IF(ISNUMBER(E11),E11,-1E+15))</f>
        <v>-1.0E+15</v>
      </c>
    </row>
    <row r="13" spans="1:13">
      <c r="A13" s="1" t="s">
        <v>174</v>
      </c>
      <c r="B13" s="1"/>
      <c r="C13" s="1"/>
      <c r="D13" s="1" t="str">
        <f>INDEX(A5:A11,MATCH(MAX(M5:M11),M5:M11,0))</f>
        <v>Extension maximale</v>
      </c>
    </row>
    <row r="15" spans="1:13">
      <c r="A15" t="s">
        <v>176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177</v>
      </c>
    </row>
    <row r="3" spans="1:12">
      <c r="D3" t="s">
        <v>179</v>
      </c>
      <c r="E3" s="8">
        <f>'Hypothèses'!$C$9</f>
        <v>3190</v>
      </c>
      <c r="G3" t="s">
        <v>179</v>
      </c>
      <c r="H3" s="8">
        <f>'Hypothèses'!$C$10</f>
        <v>4820</v>
      </c>
      <c r="J3" t="s">
        <v>179</v>
      </c>
      <c r="K3" s="8">
        <f>'Hypothèses'!$C$11</f>
        <v>5310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185</v>
      </c>
      <c r="B6" t="s">
        <v>21</v>
      </c>
      <c r="C6" t="s">
        <v>186</v>
      </c>
      <c r="D6" s="11">
        <f>'Hypothèses'!$C$13</f>
        <v>138</v>
      </c>
      <c r="E6" s="12">
        <f>'Hypothèses'!$C$9</f>
        <v>3190</v>
      </c>
      <c r="F6" s="12">
        <f>D6*E6</f>
        <v>440220</v>
      </c>
      <c r="G6" s="11">
        <f>'Hypothèses'!$C$13</f>
        <v>138</v>
      </c>
      <c r="H6" s="12">
        <f>'Hypothèses'!$C$10</f>
        <v>4820</v>
      </c>
      <c r="I6" s="12">
        <f>G6*H6</f>
        <v>665160</v>
      </c>
      <c r="J6" s="11">
        <f>'Hypothèses'!$C$13</f>
        <v>138</v>
      </c>
      <c r="K6" s="12">
        <f>'Hypothèses'!$C$11</f>
        <v>5310</v>
      </c>
      <c r="L6" s="12">
        <f>J6*K6</f>
        <v>732780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821000</v>
      </c>
      <c r="F7" s="10">
        <f>D7*E7</f>
        <v>821000</v>
      </c>
      <c r="G7" s="9">
        <f>1</f>
        <v>1</v>
      </c>
      <c r="H7" s="10">
        <f>'Hypothèses'!$C$6</f>
        <v>821000</v>
      </c>
      <c r="I7" s="10">
        <f>G7*H7</f>
        <v>821000</v>
      </c>
      <c r="J7" s="9">
        <f>1</f>
        <v>1</v>
      </c>
      <c r="K7" s="10">
        <f>'Hypothèses'!$C$6</f>
        <v>821000</v>
      </c>
      <c r="L7" s="10">
        <f>J7*K7</f>
        <v>821000</v>
      </c>
    </row>
    <row r="8" spans="1:12">
      <c r="A8" t="s">
        <v>190</v>
      </c>
      <c r="B8" t="s">
        <v>8</v>
      </c>
      <c r="C8" t="s">
        <v>191</v>
      </c>
      <c r="D8" s="10">
        <f>F7</f>
        <v>821000</v>
      </c>
      <c r="E8" s="13">
        <f>'Hypothèses'!$C$7/100</f>
        <v>0.08</v>
      </c>
      <c r="F8" s="10">
        <f>D8*E8</f>
        <v>65680</v>
      </c>
      <c r="G8" s="10">
        <f>I7</f>
        <v>821000</v>
      </c>
      <c r="H8" s="13">
        <f>'Hypothèses'!$C$7/100</f>
        <v>0.08</v>
      </c>
      <c r="I8" s="10">
        <f>G8*H8</f>
        <v>65680</v>
      </c>
      <c r="J8" s="10">
        <f>L7</f>
        <v>821000</v>
      </c>
      <c r="K8" s="13">
        <f>'Hypothèses'!$C$7/100</f>
        <v>0.08</v>
      </c>
      <c r="L8" s="10">
        <f>J8*K8</f>
        <v>65680</v>
      </c>
    </row>
    <row r="9" spans="1:12">
      <c r="A9" t="s">
        <v>192</v>
      </c>
      <c r="B9" t="s">
        <v>21</v>
      </c>
      <c r="C9" t="s">
        <v>193</v>
      </c>
      <c r="D9" s="9">
        <f>'Hypothèses'!$C$13</f>
        <v>138</v>
      </c>
      <c r="E9" s="10">
        <f>'Hypothèses'!$C$17</f>
        <v>1430</v>
      </c>
      <c r="F9" s="10">
        <f>D9*E9</f>
        <v>197340</v>
      </c>
      <c r="G9" s="9">
        <f>'Hypothèses'!$C$13</f>
        <v>138</v>
      </c>
      <c r="H9" s="10">
        <f>'Hypothèses'!$C$17</f>
        <v>1430</v>
      </c>
      <c r="I9" s="10">
        <f>G9*H9</f>
        <v>197340</v>
      </c>
      <c r="J9" s="9">
        <f>'Hypothèses'!$C$13</f>
        <v>138</v>
      </c>
      <c r="K9" s="10">
        <f>'Hypothèses'!$C$17</f>
        <v>1430</v>
      </c>
      <c r="L9" s="10">
        <f>J9*K9</f>
        <v>197340</v>
      </c>
    </row>
    <row r="10" spans="1:12">
      <c r="A10" t="s">
        <v>194</v>
      </c>
      <c r="B10" t="s">
        <v>8</v>
      </c>
      <c r="C10" t="s">
        <v>195</v>
      </c>
      <c r="D10" s="10">
        <f>F9</f>
        <v>197340</v>
      </c>
      <c r="E10" s="13">
        <f>'Hypothèses'!$C$23/100</f>
        <v>0.06</v>
      </c>
      <c r="F10" s="10">
        <f>D10*E10</f>
        <v>11840.39999999999964</v>
      </c>
      <c r="G10" s="10">
        <f>I9</f>
        <v>197340</v>
      </c>
      <c r="H10" s="13">
        <f>'Hypothèses'!$C$23/100</f>
        <v>0.06</v>
      </c>
      <c r="I10" s="10">
        <f>G10*H10</f>
        <v>11840.39999999999964</v>
      </c>
      <c r="J10" s="10">
        <f>L9</f>
        <v>197340</v>
      </c>
      <c r="K10" s="13">
        <f>'Hypothèses'!$C$23/100</f>
        <v>0.06</v>
      </c>
      <c r="L10" s="10">
        <f>J10*K10</f>
        <v>11840.39999999999964</v>
      </c>
    </row>
    <row r="11" spans="1:12">
      <c r="A11" t="s">
        <v>45</v>
      </c>
      <c r="B11" t="s">
        <v>8</v>
      </c>
      <c r="C11" t="s">
        <v>195</v>
      </c>
      <c r="D11" s="10">
        <f>F9</f>
        <v>197340</v>
      </c>
      <c r="E11" s="13">
        <f>'Hypothèses'!$C$26/100</f>
        <v>0.03</v>
      </c>
      <c r="F11" s="10">
        <f>D11*E11</f>
        <v>5920.19999999999982</v>
      </c>
      <c r="G11" s="10">
        <f>I9</f>
        <v>197340</v>
      </c>
      <c r="H11" s="13">
        <f>'Hypothèses'!$C$26/100</f>
        <v>0.03</v>
      </c>
      <c r="I11" s="10">
        <f>G11*H11</f>
        <v>5920.19999999999982</v>
      </c>
      <c r="J11" s="10">
        <f>L9</f>
        <v>197340</v>
      </c>
      <c r="K11" s="13">
        <f>'Hypothèses'!$C$26/100</f>
        <v>0.03</v>
      </c>
      <c r="L11" s="10">
        <f>J11*K11</f>
        <v>5920.19999999999982</v>
      </c>
    </row>
    <row r="12" spans="1:12">
      <c r="A12" t="s">
        <v>46</v>
      </c>
      <c r="B12" t="s">
        <v>8</v>
      </c>
      <c r="C12" t="s">
        <v>195</v>
      </c>
      <c r="D12" s="10">
        <f>F9</f>
        <v>197340</v>
      </c>
      <c r="E12" s="13">
        <f>'Hypothèses'!$C$27/100</f>
        <v>0.1</v>
      </c>
      <c r="F12" s="10">
        <f>D12*E12</f>
        <v>19734</v>
      </c>
      <c r="G12" s="10">
        <f>I9</f>
        <v>197340</v>
      </c>
      <c r="H12" s="13">
        <f>'Hypothèses'!$C$27/100</f>
        <v>0.1</v>
      </c>
      <c r="I12" s="10">
        <f>G12*H12</f>
        <v>19734</v>
      </c>
      <c r="J12" s="10">
        <f>L9</f>
        <v>197340</v>
      </c>
      <c r="K12" s="13">
        <f>'Hypothèses'!$C$27/100</f>
        <v>0.1</v>
      </c>
      <c r="L12" s="10">
        <f>J12*K12</f>
        <v>19734</v>
      </c>
    </row>
    <row r="13" spans="1:12">
      <c r="A13" t="s">
        <v>196</v>
      </c>
      <c r="B13" t="s">
        <v>8</v>
      </c>
      <c r="C13" t="s">
        <v>197</v>
      </c>
      <c r="D13" s="10">
        <f>F7+F8+0.5*(F9+F10+F11+F12)</f>
        <v>1004097.30000000004657</v>
      </c>
      <c r="E13" s="13">
        <f>'Hypothèses'!$C$30/100*'Hypothèses'!$C$31/12</f>
        <v>0.05</v>
      </c>
      <c r="F13" s="10">
        <f>D13*E13</f>
        <v>50204.86500000001251</v>
      </c>
      <c r="G13" s="10">
        <f>I7+I8+0.5*(I9+I10+I11+I12)</f>
        <v>1004097.30000000004657</v>
      </c>
      <c r="H13" s="13">
        <f>'Hypothèses'!$C$30/100*'Hypothèses'!$C$31/12</f>
        <v>0.05</v>
      </c>
      <c r="I13" s="10">
        <f>G13*H13</f>
        <v>50204.86500000001251</v>
      </c>
      <c r="J13" s="10">
        <f>L7+L8+0.5*(L9+L10+L11+L12)</f>
        <v>1004097.30000000004657</v>
      </c>
      <c r="K13" s="13">
        <f>'Hypothèses'!$C$30/100*'Hypothèses'!$C$31/12</f>
        <v>0.05</v>
      </c>
      <c r="L13" s="10">
        <f>J13*K13</f>
        <v>50204.86500000001251</v>
      </c>
    </row>
    <row r="14" spans="1:12">
      <c r="A14" t="s">
        <v>48</v>
      </c>
      <c r="B14" t="s">
        <v>8</v>
      </c>
      <c r="C14" t="s">
        <v>198</v>
      </c>
      <c r="D14" s="10">
        <f>F6</f>
        <v>440220</v>
      </c>
      <c r="E14" s="13">
        <f>'Hypothèses'!$C$28/100</f>
        <v>0.03</v>
      </c>
      <c r="F14" s="10">
        <f>D14*E14</f>
        <v>13206.60000000000036</v>
      </c>
      <c r="G14" s="10">
        <f>I6</f>
        <v>665160</v>
      </c>
      <c r="H14" s="13">
        <f>'Hypothèses'!$C$28/100</f>
        <v>0.03</v>
      </c>
      <c r="I14" s="10">
        <f>G14*H14</f>
        <v>19954.79999999999927</v>
      </c>
      <c r="J14" s="10">
        <f>L6</f>
        <v>732780</v>
      </c>
      <c r="K14" s="13">
        <f>'Hypothèses'!$C$28/100</f>
        <v>0.03</v>
      </c>
      <c r="L14" s="10">
        <f>J14*K14</f>
        <v>21983.39999999999782</v>
      </c>
    </row>
    <row r="16" spans="1:12">
      <c r="A16" s="15" t="s">
        <v>199</v>
      </c>
      <c r="B16" s="16"/>
      <c r="C16" s="16"/>
      <c r="D16" s="16"/>
      <c r="E16" s="16"/>
      <c r="F16" s="17">
        <f>F7+F8+F9+F10+F11+F12+F13+F14</f>
        <v>1184926.064999999944121</v>
      </c>
      <c r="G16" s="16"/>
      <c r="H16" s="16"/>
      <c r="I16" s="17">
        <f>I7+I8+I9+I10+I11+I12+I13+I14</f>
        <v>1191674.26499999989755</v>
      </c>
      <c r="J16" s="16"/>
      <c r="K16" s="16"/>
      <c r="L16" s="17">
        <f>L7+L8+L9+L10+L11+L12+L13+L14</f>
        <v>1193702.86499999975786</v>
      </c>
    </row>
    <row r="17" spans="1:12">
      <c r="A17" s="1" t="s">
        <v>200</v>
      </c>
      <c r="F17" s="10">
        <f>F6-(F7+F8+F9+F10+F11+F12)</f>
        <v>-681294.5999999998603</v>
      </c>
      <c r="I17" s="10">
        <f>I6-(I7+I8+I9+I10+I11+I12)</f>
        <v>-456354.5999999998603</v>
      </c>
      <c r="L17" s="10">
        <f>L6-(L7+L8+L9+L10+L11+L12)</f>
        <v>-388734.5999999998603</v>
      </c>
    </row>
    <row r="18" spans="1:12">
      <c r="A18" s="1" t="s">
        <v>151</v>
      </c>
      <c r="F18" s="12">
        <f>F6-F16</f>
        <v>-744706.064999999944121</v>
      </c>
      <c r="I18" s="12">
        <f>I6-I16</f>
        <v>-526514.26499999989755</v>
      </c>
      <c r="L18" s="12">
        <f>L6-L16</f>
        <v>-460922.86499999975786</v>
      </c>
    </row>
    <row r="19" spans="1:12">
      <c r="A19" s="1" t="s">
        <v>201</v>
      </c>
      <c r="F19" s="14">
        <f>F18/F6</f>
        <v>-1.69166795011585</v>
      </c>
      <c r="I19" s="14">
        <f>I18/I6</f>
        <v>-0.79156032383186</v>
      </c>
      <c r="L19" s="14">
        <f>L18/L6</f>
        <v>-0.62900579300745</v>
      </c>
    </row>
    <row r="20" spans="1:12">
      <c r="A20" s="1" t="s">
        <v>202</v>
      </c>
      <c r="F20" s="10">
        <f>F7+(F18-'Hypothèses'!$C$33/100*F6)/((1+'Hypothèses'!$C$7/100)*(1+'Hypothèses'!$C$30/100*'Hypothèses'!$C$31/12))</f>
        <v>106062.5529100530548</v>
      </c>
      <c r="I20" s="10">
        <f>I7+(I18-'Hypothèses'!$C$33/100*I6)/((1+'Hypothèses'!$C$7/100)*(1+'Hypothèses'!$C$30/100*'Hypothèses'!$C$31/12))</f>
        <v>268717.579365079524</v>
      </c>
      <c r="L20" s="10">
        <f>L7+(L18-'Hypothèses'!$C$33/100*L6)/((1+'Hypothèses'!$C$7/100)*(1+'Hypothèses'!$C$30/100*'Hypothèses'!$C$31/12))</f>
        <v>317613.8756613759324</v>
      </c>
    </row>
    <row r="21" spans="1:12">
      <c r="A21" s="1" t="s">
        <v>203</v>
      </c>
      <c r="F21" s="13">
        <f>F20/F7-1</f>
        <v>-0.87081296844086</v>
      </c>
      <c r="I21" s="13">
        <f>I20/I7-1</f>
        <v>-0.67269478761866</v>
      </c>
      <c r="L21" s="13">
        <f>L20/L7-1</f>
        <v>-0.61313778847579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24</v>
      </c>
    </row>
    <row r="2" spans="1:12" customHeight="1" ht="48">
      <c r="A2" s="7" t="s">
        <v>204</v>
      </c>
    </row>
    <row r="3" spans="1:12">
      <c r="D3" t="s">
        <v>179</v>
      </c>
      <c r="E3" s="8">
        <f>'Hypothèses'!$C$9</f>
        <v>3190</v>
      </c>
      <c r="G3" t="s">
        <v>179</v>
      </c>
      <c r="H3" s="8">
        <f>'Hypothèses'!$C$10</f>
        <v>4820</v>
      </c>
      <c r="J3" t="s">
        <v>179</v>
      </c>
      <c r="K3" s="8">
        <f>'Hypothèses'!$C$11</f>
        <v>5310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205</v>
      </c>
      <c r="B6" t="s">
        <v>21</v>
      </c>
      <c r="C6" t="s">
        <v>206</v>
      </c>
      <c r="D6" s="11">
        <f>'Hypothèses'!$C$13+'Hypothèses'!$C$15</f>
        <v>576</v>
      </c>
      <c r="E6" s="12">
        <f>'Hypothèses'!$C$9</f>
        <v>3190</v>
      </c>
      <c r="F6" s="12">
        <f>D6*E6</f>
        <v>1837440</v>
      </c>
      <c r="G6" s="11">
        <f>'Hypothèses'!$C$13+'Hypothèses'!$C$15</f>
        <v>576</v>
      </c>
      <c r="H6" s="12">
        <f>'Hypothèses'!$C$10</f>
        <v>4820</v>
      </c>
      <c r="I6" s="12">
        <f>G6*H6</f>
        <v>2776320</v>
      </c>
      <c r="J6" s="11">
        <f>'Hypothèses'!$C$13+'Hypothèses'!$C$15</f>
        <v>576</v>
      </c>
      <c r="K6" s="12">
        <f>'Hypothèses'!$C$11</f>
        <v>5310</v>
      </c>
      <c r="L6" s="12">
        <f>J6*K6</f>
        <v>3058560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821000</v>
      </c>
      <c r="F7" s="10">
        <f>D7*E7</f>
        <v>821000</v>
      </c>
      <c r="G7" s="9">
        <f>1</f>
        <v>1</v>
      </c>
      <c r="H7" s="10">
        <f>'Hypothèses'!$C$6</f>
        <v>821000</v>
      </c>
      <c r="I7" s="10">
        <f>G7*H7</f>
        <v>821000</v>
      </c>
      <c r="J7" s="9">
        <f>1</f>
        <v>1</v>
      </c>
      <c r="K7" s="10">
        <f>'Hypothèses'!$C$6</f>
        <v>821000</v>
      </c>
      <c r="L7" s="10">
        <f>J7*K7</f>
        <v>821000</v>
      </c>
    </row>
    <row r="8" spans="1:12">
      <c r="A8" t="s">
        <v>190</v>
      </c>
      <c r="B8" t="s">
        <v>8</v>
      </c>
      <c r="C8" t="s">
        <v>191</v>
      </c>
      <c r="D8" s="10">
        <f>F7</f>
        <v>821000</v>
      </c>
      <c r="E8" s="13">
        <f>'Hypothèses'!$C$7/100</f>
        <v>0.08</v>
      </c>
      <c r="F8" s="10">
        <f>D8*E8</f>
        <v>65680</v>
      </c>
      <c r="G8" s="10">
        <f>I7</f>
        <v>821000</v>
      </c>
      <c r="H8" s="13">
        <f>'Hypothèses'!$C$7/100</f>
        <v>0.08</v>
      </c>
      <c r="I8" s="10">
        <f>G8*H8</f>
        <v>65680</v>
      </c>
      <c r="J8" s="10">
        <f>L7</f>
        <v>821000</v>
      </c>
      <c r="K8" s="13">
        <f>'Hypothèses'!$C$7/100</f>
        <v>0.08</v>
      </c>
      <c r="L8" s="10">
        <f>J8*K8</f>
        <v>65680</v>
      </c>
    </row>
    <row r="9" spans="1:12">
      <c r="A9" t="s">
        <v>207</v>
      </c>
      <c r="B9" t="s">
        <v>21</v>
      </c>
      <c r="C9" t="s">
        <v>208</v>
      </c>
      <c r="D9" s="9">
        <f>'Hypothèses'!$C$15</f>
        <v>438</v>
      </c>
      <c r="E9" s="10">
        <f>'Hypothèses'!$C$18</f>
        <v>2860</v>
      </c>
      <c r="F9" s="10">
        <f>D9*E9</f>
        <v>1252680</v>
      </c>
      <c r="G9" s="9">
        <f>'Hypothèses'!$C$15</f>
        <v>438</v>
      </c>
      <c r="H9" s="10">
        <f>'Hypothèses'!$C$18</f>
        <v>2860</v>
      </c>
      <c r="I9" s="10">
        <f>G9*H9</f>
        <v>1252680</v>
      </c>
      <c r="J9" s="9">
        <f>'Hypothèses'!$C$15</f>
        <v>438</v>
      </c>
      <c r="K9" s="10">
        <f>'Hypothèses'!$C$18</f>
        <v>2860</v>
      </c>
      <c r="L9" s="10">
        <f>J9*K9</f>
        <v>1252680</v>
      </c>
    </row>
    <row r="10" spans="1:12">
      <c r="A10" t="s">
        <v>209</v>
      </c>
      <c r="B10" t="s">
        <v>21</v>
      </c>
      <c r="C10" t="s">
        <v>210</v>
      </c>
      <c r="D10" s="9">
        <f>'Hypothèses'!$C$15</f>
        <v>438</v>
      </c>
      <c r="E10" s="10">
        <f>'Hypothèses'!$C$19</f>
        <v>150</v>
      </c>
      <c r="F10" s="10">
        <f>D10*E10</f>
        <v>65700</v>
      </c>
      <c r="G10" s="9">
        <f>'Hypothèses'!$C$15</f>
        <v>438</v>
      </c>
      <c r="H10" s="10">
        <f>'Hypothèses'!$C$19</f>
        <v>150</v>
      </c>
      <c r="I10" s="10">
        <f>G10*H10</f>
        <v>65700</v>
      </c>
      <c r="J10" s="9">
        <f>'Hypothèses'!$C$15</f>
        <v>438</v>
      </c>
      <c r="K10" s="10">
        <f>'Hypothèses'!$C$19</f>
        <v>150</v>
      </c>
      <c r="L10" s="10">
        <f>J10*K10</f>
        <v>65700</v>
      </c>
    </row>
    <row r="11" spans="1:12">
      <c r="A11" t="s">
        <v>35</v>
      </c>
      <c r="B11" t="s">
        <v>8</v>
      </c>
      <c r="C11" t="s">
        <v>195</v>
      </c>
      <c r="D11" s="10">
        <f>F9</f>
        <v>1252680</v>
      </c>
      <c r="E11" s="13">
        <f>'Hypothèses'!$C$21/100</f>
        <v>0.08</v>
      </c>
      <c r="F11" s="10">
        <f>D11*E11</f>
        <v>100214.40000000000873</v>
      </c>
      <c r="G11" s="10">
        <f>I9</f>
        <v>1252680</v>
      </c>
      <c r="H11" s="13">
        <f>'Hypothèses'!$C$21/100</f>
        <v>0.08</v>
      </c>
      <c r="I11" s="10">
        <f>G11*H11</f>
        <v>100214.40000000000873</v>
      </c>
      <c r="J11" s="10">
        <f>L9</f>
        <v>1252680</v>
      </c>
      <c r="K11" s="13">
        <f>'Hypothèses'!$C$21/100</f>
        <v>0.08</v>
      </c>
      <c r="L11" s="10">
        <f>J11*K11</f>
        <v>100214.40000000000873</v>
      </c>
    </row>
    <row r="12" spans="1:12">
      <c r="A12" t="s">
        <v>211</v>
      </c>
      <c r="B12" t="s">
        <v>8</v>
      </c>
      <c r="C12" t="s">
        <v>212</v>
      </c>
      <c r="D12" s="10">
        <f>F9+F10+F11</f>
        <v>1418594.39999999990687</v>
      </c>
      <c r="E12" s="13">
        <f>'Hypothèses'!$C$22/100</f>
        <v>0.12</v>
      </c>
      <c r="F12" s="10">
        <f>D12*E12</f>
        <v>170231.32799999997951</v>
      </c>
      <c r="G12" s="10">
        <f>I9+I10+I11</f>
        <v>1418594.39999999990687</v>
      </c>
      <c r="H12" s="13">
        <f>'Hypothèses'!$C$22/100</f>
        <v>0.12</v>
      </c>
      <c r="I12" s="10">
        <f>G12*H12</f>
        <v>170231.32799999997951</v>
      </c>
      <c r="J12" s="10">
        <f>L9+L10+L11</f>
        <v>1418594.39999999990687</v>
      </c>
      <c r="K12" s="13">
        <f>'Hypothèses'!$C$22/100</f>
        <v>0.12</v>
      </c>
      <c r="L12" s="10">
        <f>J12*K12</f>
        <v>170231.32799999997951</v>
      </c>
    </row>
    <row r="13" spans="1:12">
      <c r="A13" t="s">
        <v>125</v>
      </c>
      <c r="B13" t="s">
        <v>21</v>
      </c>
      <c r="C13" t="s">
        <v>213</v>
      </c>
      <c r="D13" s="9">
        <f>'Hypothèses'!$C$15</f>
        <v>438</v>
      </c>
      <c r="E13" s="10">
        <f>'Hypothèses'!$C$24*'Hypothèses'!$C$25/100</f>
        <v>45</v>
      </c>
      <c r="F13" s="10">
        <f>D13*E13</f>
        <v>19710</v>
      </c>
      <c r="G13" s="9">
        <f>'Hypothèses'!$C$15</f>
        <v>438</v>
      </c>
      <c r="H13" s="10">
        <f>'Hypothèses'!$C$24*'Hypothèses'!$C$25/100</f>
        <v>45</v>
      </c>
      <c r="I13" s="10">
        <f>G13*H13</f>
        <v>19710</v>
      </c>
      <c r="J13" s="9">
        <f>'Hypothèses'!$C$15</f>
        <v>438</v>
      </c>
      <c r="K13" s="10">
        <f>'Hypothèses'!$C$24*'Hypothèses'!$C$25/100</f>
        <v>45</v>
      </c>
      <c r="L13" s="10">
        <f>J13*K13</f>
        <v>19710</v>
      </c>
    </row>
    <row r="14" spans="1:12">
      <c r="A14" t="s">
        <v>45</v>
      </c>
      <c r="B14" t="s">
        <v>8</v>
      </c>
      <c r="C14" t="s">
        <v>195</v>
      </c>
      <c r="D14" s="10">
        <f>F9+F10</f>
        <v>1318380</v>
      </c>
      <c r="E14" s="13">
        <f>'Hypothèses'!$C$26/100</f>
        <v>0.03</v>
      </c>
      <c r="F14" s="10">
        <f>D14*E14</f>
        <v>39551.40000000000146</v>
      </c>
      <c r="G14" s="10">
        <f>I9+I10</f>
        <v>1318380</v>
      </c>
      <c r="H14" s="13">
        <f>'Hypothèses'!$C$26/100</f>
        <v>0.03</v>
      </c>
      <c r="I14" s="10">
        <f>G14*H14</f>
        <v>39551.40000000000146</v>
      </c>
      <c r="J14" s="10">
        <f>L9+L10</f>
        <v>1318380</v>
      </c>
      <c r="K14" s="13">
        <f>'Hypothèses'!$C$26/100</f>
        <v>0.03</v>
      </c>
      <c r="L14" s="10">
        <f>J14*K14</f>
        <v>39551.40000000000146</v>
      </c>
    </row>
    <row r="15" spans="1:12">
      <c r="A15" t="s">
        <v>46</v>
      </c>
      <c r="B15" t="s">
        <v>8</v>
      </c>
      <c r="C15" t="s">
        <v>195</v>
      </c>
      <c r="D15" s="10">
        <f>F9+F10+F11</f>
        <v>1418594.39999999990687</v>
      </c>
      <c r="E15" s="13">
        <f>'Hypothèses'!$C$27/100</f>
        <v>0.1</v>
      </c>
      <c r="F15" s="10">
        <f>D15*E15</f>
        <v>141859.44000000000233</v>
      </c>
      <c r="G15" s="10">
        <f>I9+I10+I11</f>
        <v>1418594.39999999990687</v>
      </c>
      <c r="H15" s="13">
        <f>'Hypothèses'!$C$27/100</f>
        <v>0.1</v>
      </c>
      <c r="I15" s="10">
        <f>G15*H15</f>
        <v>141859.44000000000233</v>
      </c>
      <c r="J15" s="10">
        <f>L9+L10+L11</f>
        <v>1418594.39999999990687</v>
      </c>
      <c r="K15" s="13">
        <f>'Hypothèses'!$C$27/100</f>
        <v>0.1</v>
      </c>
      <c r="L15" s="10">
        <f>J15*K15</f>
        <v>141859.44000000000233</v>
      </c>
    </row>
    <row r="16" spans="1:12">
      <c r="A16" t="s">
        <v>196</v>
      </c>
      <c r="B16" t="s">
        <v>8</v>
      </c>
      <c r="C16" t="s">
        <v>197</v>
      </c>
      <c r="D16" s="10">
        <f>F7+F8+0.5*(F9+F10+F11+F12+F14+F15)</f>
        <v>1771798.2839999999851</v>
      </c>
      <c r="E16" s="13">
        <f>'Hypothèses'!$C$30/100*'Hypothèses'!$C$32/12</f>
        <v>0.083333333333333</v>
      </c>
      <c r="F16" s="10">
        <f>D16*E16</f>
        <v>147649.85699999998906</v>
      </c>
      <c r="G16" s="10">
        <f>I7+I8+0.5*(I9+I10+I11+I12+I14+I15)</f>
        <v>1771798.2839999999851</v>
      </c>
      <c r="H16" s="13">
        <f>'Hypothèses'!$C$30/100*'Hypothèses'!$C$32/12</f>
        <v>0.083333333333333</v>
      </c>
      <c r="I16" s="10">
        <f>G16*H16</f>
        <v>147649.85699999998906</v>
      </c>
      <c r="J16" s="10">
        <f>L7+L8+0.5*(L9+L10+L11+L12+L14+L15)</f>
        <v>1771798.2839999999851</v>
      </c>
      <c r="K16" s="13">
        <f>'Hypothèses'!$C$30/100*'Hypothèses'!$C$32/12</f>
        <v>0.083333333333333</v>
      </c>
      <c r="L16" s="10">
        <f>J16*K16</f>
        <v>147649.85699999998906</v>
      </c>
    </row>
    <row r="17" spans="1:12">
      <c r="A17" t="s">
        <v>48</v>
      </c>
      <c r="B17" t="s">
        <v>8</v>
      </c>
      <c r="C17" t="s">
        <v>198</v>
      </c>
      <c r="D17" s="10">
        <f>F6</f>
        <v>1837440</v>
      </c>
      <c r="E17" s="13">
        <f>'Hypothèses'!$C$28/100</f>
        <v>0.03</v>
      </c>
      <c r="F17" s="10">
        <f>D17*E17</f>
        <v>55123.19999999999709</v>
      </c>
      <c r="G17" s="10">
        <f>I6</f>
        <v>2776320</v>
      </c>
      <c r="H17" s="13">
        <f>'Hypothèses'!$C$28/100</f>
        <v>0.03</v>
      </c>
      <c r="I17" s="10">
        <f>G17*H17</f>
        <v>83289.59999999999127</v>
      </c>
      <c r="J17" s="10">
        <f>L6</f>
        <v>3058560</v>
      </c>
      <c r="K17" s="13">
        <f>'Hypothèses'!$C$28/100</f>
        <v>0.03</v>
      </c>
      <c r="L17" s="10">
        <f>J17*K17</f>
        <v>91756.80000000000291</v>
      </c>
    </row>
    <row r="19" spans="1:12">
      <c r="A19" s="15" t="s">
        <v>199</v>
      </c>
      <c r="B19" s="16"/>
      <c r="C19" s="16"/>
      <c r="D19" s="16"/>
      <c r="E19" s="16"/>
      <c r="F19" s="17">
        <f>F7+F8+F9+F10+F11+F12+F13+F14+F15+F16+F17</f>
        <v>2879399.625</v>
      </c>
      <c r="G19" s="16"/>
      <c r="H19" s="16"/>
      <c r="I19" s="17">
        <f>I7+I8+I9+I10+I11+I12+I13+I14+I15+I16+I17</f>
        <v>2907566.024999999906868</v>
      </c>
      <c r="J19" s="16"/>
      <c r="K19" s="16"/>
      <c r="L19" s="17">
        <f>L7+L8+L9+L10+L11+L12+L13+L14+L15+L16+L17</f>
        <v>2916033.22499999962747</v>
      </c>
    </row>
    <row r="20" spans="1:12">
      <c r="A20" s="1" t="s">
        <v>200</v>
      </c>
      <c r="F20" s="10">
        <f>F6-(F7+F8+F9+F10+F11+F12+F13+F14+F15)</f>
        <v>-839186.5679999999702</v>
      </c>
      <c r="I20" s="10">
        <f>I6-(I7+I8+I9+I10+I11+I12+I13+I14+I15)</f>
        <v>99693.4320000000298</v>
      </c>
      <c r="L20" s="10">
        <f>L6-(L7+L8+L9+L10+L11+L12+L13+L14+L15)</f>
        <v>381933.4320000000298</v>
      </c>
    </row>
    <row r="21" spans="1:12">
      <c r="A21" s="1" t="s">
        <v>151</v>
      </c>
      <c r="F21" s="12">
        <f>F6-F19</f>
        <v>-1041959.625</v>
      </c>
      <c r="I21" s="12">
        <f>I6-I19</f>
        <v>-131246.024999999906868</v>
      </c>
      <c r="L21" s="12">
        <f>L6-L19</f>
        <v>142526.77500000037253</v>
      </c>
    </row>
    <row r="22" spans="1:12">
      <c r="A22" s="1" t="s">
        <v>201</v>
      </c>
      <c r="F22" s="14">
        <f>F21/F6</f>
        <v>-0.56707137375914</v>
      </c>
      <c r="I22" s="14">
        <f>I21/I6</f>
        <v>-0.04727337806881</v>
      </c>
      <c r="L22" s="14">
        <f>L21/L6</f>
        <v>0.046599306536409</v>
      </c>
    </row>
    <row r="23" spans="1:12">
      <c r="A23" s="1" t="s">
        <v>202</v>
      </c>
      <c r="F23" s="10">
        <f>F7+(F21-'Hypothèses'!$C$33/100*F6)/((1+'Hypothèses'!$C$7/100)*(1+'Hypothèses'!$C$30/100*'Hypothèses'!$C$32/12))</f>
        <v>-305133.012820512987673</v>
      </c>
      <c r="I23" s="10">
        <f>I7+(I21-'Hypothèses'!$C$33/100*I6)/((1+'Hypothèses'!$C$7/100)*(1+'Hypothèses'!$C$30/100*'Hypothèses'!$C$32/12))</f>
        <v>352885.4487179487478</v>
      </c>
      <c r="L23" s="10">
        <f>L7+(L21-'Hypothèses'!$C$33/100*L6)/((1+'Hypothèses'!$C$7/100)*(1+'Hypothèses'!$C$30/100*'Hypothèses'!$C$32/12))</f>
        <v>550694.67948717973195</v>
      </c>
    </row>
    <row r="24" spans="1:12">
      <c r="A24" s="1" t="s">
        <v>203</v>
      </c>
      <c r="F24" s="13">
        <f>F23/F7-1</f>
        <v>-1.37166018613948</v>
      </c>
      <c r="I24" s="13">
        <f>I23/I7-1</f>
        <v>-0.57017606733502</v>
      </c>
      <c r="L24" s="13">
        <f>L23/L7-1</f>
        <v>-0.32923912364534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0" workbookViewId="0" showGridLines="true" showRowColHeaders="1">
      <pane xSplit="3" ySplit="5" activePane="bottomRight" state="frozen" topLeftCell="D6"/>
      <selection pane="bottomRight" activeCell="A17" sqref="A17:L22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162</v>
      </c>
    </row>
    <row r="2" spans="1:12" customHeight="1" ht="48">
      <c r="A2" s="7" t="s">
        <v>214</v>
      </c>
    </row>
    <row r="3" spans="1:12">
      <c r="D3" t="s">
        <v>179</v>
      </c>
      <c r="E3" s="8">
        <f>'Hypothèses'!$C$9</f>
        <v>3190</v>
      </c>
      <c r="G3" t="s">
        <v>179</v>
      </c>
      <c r="H3" s="8">
        <f>'Hypothèses'!$C$10</f>
        <v>4820</v>
      </c>
      <c r="J3" t="s">
        <v>179</v>
      </c>
      <c r="K3" s="8">
        <f>'Hypothèses'!$C$11</f>
        <v>5310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215</v>
      </c>
      <c r="B6" t="s">
        <v>21</v>
      </c>
      <c r="C6" t="s">
        <v>216</v>
      </c>
      <c r="D6" s="11">
        <f>'Hypothèses'!$C$13+'Hypothèses'!$C$35</f>
        <v>258</v>
      </c>
      <c r="E6" s="12">
        <f>'Hypothèses'!$C$9</f>
        <v>3190</v>
      </c>
      <c r="F6" s="12">
        <f>D6*E6</f>
        <v>823020</v>
      </c>
      <c r="G6" s="11">
        <f>'Hypothèses'!$C$13+'Hypothèses'!$C$35</f>
        <v>258</v>
      </c>
      <c r="H6" s="12">
        <f>'Hypothèses'!$C$10</f>
        <v>4820</v>
      </c>
      <c r="I6" s="12">
        <f>G6*H6</f>
        <v>1243560</v>
      </c>
      <c r="J6" s="11">
        <f>'Hypothèses'!$C$13+'Hypothèses'!$C$35</f>
        <v>258</v>
      </c>
      <c r="K6" s="12">
        <f>'Hypothèses'!$C$11</f>
        <v>5310</v>
      </c>
      <c r="L6" s="12">
        <f>J6*K6</f>
        <v>1369980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821000</v>
      </c>
      <c r="F7" s="10">
        <f>D7*E7</f>
        <v>821000</v>
      </c>
      <c r="G7" s="9">
        <f>1</f>
        <v>1</v>
      </c>
      <c r="H7" s="10">
        <f>'Hypothèses'!$C$6</f>
        <v>821000</v>
      </c>
      <c r="I7" s="10">
        <f>G7*H7</f>
        <v>821000</v>
      </c>
      <c r="J7" s="9">
        <f>1</f>
        <v>1</v>
      </c>
      <c r="K7" s="10">
        <f>'Hypothèses'!$C$6</f>
        <v>821000</v>
      </c>
      <c r="L7" s="10">
        <f>J7*K7</f>
        <v>821000</v>
      </c>
    </row>
    <row r="8" spans="1:12">
      <c r="A8" t="s">
        <v>190</v>
      </c>
      <c r="B8" t="s">
        <v>8</v>
      </c>
      <c r="C8" t="s">
        <v>191</v>
      </c>
      <c r="D8" s="10">
        <f>F7</f>
        <v>821000</v>
      </c>
      <c r="E8" s="13">
        <f>'Hypothèses'!$C$7/100</f>
        <v>0.08</v>
      </c>
      <c r="F8" s="10">
        <f>D8*E8</f>
        <v>65680</v>
      </c>
      <c r="G8" s="10">
        <f>I7</f>
        <v>821000</v>
      </c>
      <c r="H8" s="13">
        <f>'Hypothèses'!$C$7/100</f>
        <v>0.08</v>
      </c>
      <c r="I8" s="10">
        <f>G8*H8</f>
        <v>65680</v>
      </c>
      <c r="J8" s="10">
        <f>L7</f>
        <v>821000</v>
      </c>
      <c r="K8" s="13">
        <f>'Hypothèses'!$C$7/100</f>
        <v>0.08</v>
      </c>
      <c r="L8" s="10">
        <f>J8*K8</f>
        <v>65680</v>
      </c>
    </row>
    <row r="9" spans="1:12">
      <c r="A9" t="s">
        <v>217</v>
      </c>
      <c r="B9" t="s">
        <v>21</v>
      </c>
      <c r="C9" t="s">
        <v>218</v>
      </c>
      <c r="D9" s="9">
        <f>'Hypothèses'!$C$35</f>
        <v>120</v>
      </c>
      <c r="E9" s="10">
        <f>'Hypothèses'!$C$18*1.2</f>
        <v>3432</v>
      </c>
      <c r="F9" s="10">
        <f>D9*E9</f>
        <v>411840</v>
      </c>
      <c r="G9" s="9">
        <f>'Hypothèses'!$C$35</f>
        <v>120</v>
      </c>
      <c r="H9" s="10">
        <f>'Hypothèses'!$C$18*1.2</f>
        <v>3432</v>
      </c>
      <c r="I9" s="10">
        <f>G9*H9</f>
        <v>411840</v>
      </c>
      <c r="J9" s="9">
        <f>'Hypothèses'!$C$35</f>
        <v>120</v>
      </c>
      <c r="K9" s="10">
        <f>'Hypothèses'!$C$18*1.2</f>
        <v>3432</v>
      </c>
      <c r="L9" s="10">
        <f>J9*K9</f>
        <v>411840</v>
      </c>
    </row>
    <row r="10" spans="1:12">
      <c r="A10" t="s">
        <v>211</v>
      </c>
      <c r="B10" t="s">
        <v>8</v>
      </c>
      <c r="C10" t="s">
        <v>219</v>
      </c>
      <c r="D10" s="10">
        <f>F9</f>
        <v>411840</v>
      </c>
      <c r="E10" s="13">
        <f>'Hypothèses'!$C$22/100</f>
        <v>0.12</v>
      </c>
      <c r="F10" s="10">
        <f>D10*E10</f>
        <v>49420.79999999999563</v>
      </c>
      <c r="G10" s="10">
        <f>I9</f>
        <v>411840</v>
      </c>
      <c r="H10" s="13">
        <f>'Hypothèses'!$C$22/100</f>
        <v>0.12</v>
      </c>
      <c r="I10" s="10">
        <f>G10*H10</f>
        <v>49420.79999999999563</v>
      </c>
      <c r="J10" s="10">
        <f>L9</f>
        <v>411840</v>
      </c>
      <c r="K10" s="13">
        <f>'Hypothèses'!$C$22/100</f>
        <v>0.12</v>
      </c>
      <c r="L10" s="10">
        <f>J10*K10</f>
        <v>49420.79999999999563</v>
      </c>
    </row>
    <row r="11" spans="1:12">
      <c r="A11" t="s">
        <v>125</v>
      </c>
      <c r="B11" t="s">
        <v>21</v>
      </c>
      <c r="C11" t="s">
        <v>213</v>
      </c>
      <c r="D11" s="9">
        <f>'Hypothèses'!$C$35</f>
        <v>120</v>
      </c>
      <c r="E11" s="10">
        <f>'Hypothèses'!$C$24*'Hypothèses'!$C$25/100</f>
        <v>45</v>
      </c>
      <c r="F11" s="10">
        <f>D11*E11</f>
        <v>5400</v>
      </c>
      <c r="G11" s="9">
        <f>'Hypothèses'!$C$35</f>
        <v>120</v>
      </c>
      <c r="H11" s="10">
        <f>'Hypothèses'!$C$24*'Hypothèses'!$C$25/100</f>
        <v>45</v>
      </c>
      <c r="I11" s="10">
        <f>G11*H11</f>
        <v>5400</v>
      </c>
      <c r="J11" s="9">
        <f>'Hypothèses'!$C$35</f>
        <v>120</v>
      </c>
      <c r="K11" s="10">
        <f>'Hypothèses'!$C$24*'Hypothèses'!$C$25/100</f>
        <v>45</v>
      </c>
      <c r="L11" s="10">
        <f>J11*K11</f>
        <v>5400</v>
      </c>
    </row>
    <row r="12" spans="1:12">
      <c r="A12" t="s">
        <v>45</v>
      </c>
      <c r="B12" t="s">
        <v>8</v>
      </c>
      <c r="C12" t="s">
        <v>195</v>
      </c>
      <c r="D12" s="10">
        <f>F9</f>
        <v>411840</v>
      </c>
      <c r="E12" s="13">
        <f>'Hypothèses'!$C$26/100</f>
        <v>0.03</v>
      </c>
      <c r="F12" s="10">
        <f>D12*E12</f>
        <v>12355.19999999999891</v>
      </c>
      <c r="G12" s="10">
        <f>I9</f>
        <v>411840</v>
      </c>
      <c r="H12" s="13">
        <f>'Hypothèses'!$C$26/100</f>
        <v>0.03</v>
      </c>
      <c r="I12" s="10">
        <f>G12*H12</f>
        <v>12355.19999999999891</v>
      </c>
      <c r="J12" s="10">
        <f>L9</f>
        <v>411840</v>
      </c>
      <c r="K12" s="13">
        <f>'Hypothèses'!$C$26/100</f>
        <v>0.03</v>
      </c>
      <c r="L12" s="10">
        <f>J12*K12</f>
        <v>12355.19999999999891</v>
      </c>
    </row>
    <row r="13" spans="1:12">
      <c r="A13" t="s">
        <v>46</v>
      </c>
      <c r="B13" t="s">
        <v>8</v>
      </c>
      <c r="C13" t="s">
        <v>195</v>
      </c>
      <c r="D13" s="10">
        <f>F9</f>
        <v>411840</v>
      </c>
      <c r="E13" s="13">
        <f>'Hypothèses'!$C$27/100</f>
        <v>0.1</v>
      </c>
      <c r="F13" s="10">
        <f>D13*E13</f>
        <v>41184</v>
      </c>
      <c r="G13" s="10">
        <f>I9</f>
        <v>411840</v>
      </c>
      <c r="H13" s="13">
        <f>'Hypothèses'!$C$27/100</f>
        <v>0.1</v>
      </c>
      <c r="I13" s="10">
        <f>G13*H13</f>
        <v>41184</v>
      </c>
      <c r="J13" s="10">
        <f>L9</f>
        <v>411840</v>
      </c>
      <c r="K13" s="13">
        <f>'Hypothèses'!$C$27/100</f>
        <v>0.1</v>
      </c>
      <c r="L13" s="10">
        <f>J13*K13</f>
        <v>41184</v>
      </c>
    </row>
    <row r="14" spans="1:12">
      <c r="A14" t="s">
        <v>196</v>
      </c>
      <c r="B14" t="s">
        <v>8</v>
      </c>
      <c r="C14" t="s">
        <v>197</v>
      </c>
      <c r="D14" s="10">
        <f>F7+F8+0.5*(F9+F10+F12+F13)</f>
        <v>1144080</v>
      </c>
      <c r="E14" s="13">
        <f>'Hypothèses'!$C$30/100*'Hypothèses'!$C$32/12</f>
        <v>0.083333333333333</v>
      </c>
      <c r="F14" s="10">
        <f>D14*E14</f>
        <v>95340</v>
      </c>
      <c r="G14" s="10">
        <f>I7+I8+0.5*(I9+I10+I12+I13)</f>
        <v>1144080</v>
      </c>
      <c r="H14" s="13">
        <f>'Hypothèses'!$C$30/100*'Hypothèses'!$C$32/12</f>
        <v>0.083333333333333</v>
      </c>
      <c r="I14" s="10">
        <f>G14*H14</f>
        <v>95340</v>
      </c>
      <c r="J14" s="10">
        <f>L7+L8+0.5*(L9+L10+L12+L13)</f>
        <v>1144080</v>
      </c>
      <c r="K14" s="13">
        <f>'Hypothèses'!$C$30/100*'Hypothèses'!$C$32/12</f>
        <v>0.083333333333333</v>
      </c>
      <c r="L14" s="10">
        <f>J14*K14</f>
        <v>95340</v>
      </c>
    </row>
    <row r="15" spans="1:12">
      <c r="A15" t="s">
        <v>48</v>
      </c>
      <c r="B15" t="s">
        <v>8</v>
      </c>
      <c r="C15" t="s">
        <v>198</v>
      </c>
      <c r="D15" s="10">
        <f>F6</f>
        <v>823020</v>
      </c>
      <c r="E15" s="13">
        <f>'Hypothèses'!$C$28/100</f>
        <v>0.03</v>
      </c>
      <c r="F15" s="10">
        <f>D15*E15</f>
        <v>24690.59999999999854</v>
      </c>
      <c r="G15" s="10">
        <f>I6</f>
        <v>1243560</v>
      </c>
      <c r="H15" s="13">
        <f>'Hypothèses'!$C$28/100</f>
        <v>0.03</v>
      </c>
      <c r="I15" s="10">
        <f>G15*H15</f>
        <v>37306.79999999999563</v>
      </c>
      <c r="J15" s="10">
        <f>L6</f>
        <v>1369980</v>
      </c>
      <c r="K15" s="13">
        <f>'Hypothèses'!$C$28/100</f>
        <v>0.03</v>
      </c>
      <c r="L15" s="10">
        <f>J15*K15</f>
        <v>41099.40000000000146</v>
      </c>
    </row>
    <row r="17" spans="1:12">
      <c r="A17" s="15" t="s">
        <v>199</v>
      </c>
      <c r="B17" s="16"/>
      <c r="C17" s="16"/>
      <c r="D17" s="16"/>
      <c r="E17" s="16"/>
      <c r="F17" s="17">
        <f>F7+F8+F9+F10+F11+F12+F13+F14+F15</f>
        <v>1526910.60000000009313</v>
      </c>
      <c r="G17" s="16"/>
      <c r="H17" s="16"/>
      <c r="I17" s="17">
        <f>I7+I8+I9+I10+I11+I12+I13+I14+I15</f>
        <v>1539526.80000000004657</v>
      </c>
      <c r="J17" s="16"/>
      <c r="K17" s="16"/>
      <c r="L17" s="17">
        <f>L7+L8+L9+L10+L11+L12+L13+L14+L15</f>
        <v>1543319.39999999990687</v>
      </c>
    </row>
    <row r="18" spans="1:12">
      <c r="A18" s="1" t="s">
        <v>200</v>
      </c>
      <c r="F18" s="10">
        <f>F6-(F7+F8+F9+F10+F11+F12+F13)</f>
        <v>-583860</v>
      </c>
      <c r="I18" s="10">
        <f>I6-(I7+I8+I9+I10+I11+I12+I13)</f>
        <v>-163320</v>
      </c>
      <c r="L18" s="10">
        <f>L6-(L7+L8+L9+L10+L11+L12+L13)</f>
        <v>-36900</v>
      </c>
    </row>
    <row r="19" spans="1:12">
      <c r="A19" s="1" t="s">
        <v>151</v>
      </c>
      <c r="F19" s="12">
        <f>F6-F17</f>
        <v>-703890.60000000009313</v>
      </c>
      <c r="I19" s="12">
        <f>I6-I17</f>
        <v>-295966.80000000004657</v>
      </c>
      <c r="L19" s="12">
        <f>L6-L17</f>
        <v>-173339.39999999990687</v>
      </c>
    </row>
    <row r="20" spans="1:12">
      <c r="A20" s="1" t="s">
        <v>201</v>
      </c>
      <c r="F20" s="14">
        <f>F19/F6</f>
        <v>-0.85525333527739</v>
      </c>
      <c r="I20" s="14">
        <f>I19/I6</f>
        <v>-0.23799961401139</v>
      </c>
      <c r="L20" s="14">
        <f>L19/L6</f>
        <v>-0.12652695659791</v>
      </c>
    </row>
    <row r="21" spans="1:12">
      <c r="A21" s="1" t="s">
        <v>202</v>
      </c>
      <c r="F21" s="10">
        <f>F7+(F19-'Hypothèses'!$C$33/100*F6)/((1+'Hypothèses'!$C$7/100)*(1+'Hypothèses'!$C$30/100*'Hypothèses'!$C$32/12))</f>
        <v>113868.71794871788006</v>
      </c>
      <c r="I21" s="10">
        <f>I7+(I19-'Hypothèses'!$C$33/100*I6)/((1+'Hypothèses'!$C$7/100)*(1+'Hypothèses'!$C$30/100*'Hypothèses'!$C$32/12))</f>
        <v>408606.1538461537566</v>
      </c>
      <c r="L21" s="10">
        <f>L7+(L19-'Hypothèses'!$C$33/100*L6)/((1+'Hypothèses'!$C$7/100)*(1+'Hypothèses'!$C$30/100*'Hypothèses'!$C$32/12))</f>
        <v>497208.20512820518343</v>
      </c>
    </row>
    <row r="22" spans="1:12">
      <c r="A22" s="1" t="s">
        <v>203</v>
      </c>
      <c r="F22" s="13">
        <f>F21/F7-1</f>
        <v>-0.86130485024517</v>
      </c>
      <c r="I22" s="13">
        <f>I21/I7-1</f>
        <v>-0.502306755364</v>
      </c>
      <c r="L22" s="13">
        <f>L21/L7-1</f>
        <v>-0.39438708266966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164</v>
      </c>
    </row>
    <row r="2" spans="1:12" customHeight="1" ht="48">
      <c r="A2" s="7" t="s">
        <v>220</v>
      </c>
    </row>
    <row r="3" spans="1:12">
      <c r="D3" t="s">
        <v>179</v>
      </c>
      <c r="E3" s="8">
        <f>'Hypothèses'!$C$9</f>
        <v>3190</v>
      </c>
      <c r="G3" t="s">
        <v>179</v>
      </c>
      <c r="H3" s="8">
        <f>'Hypothèses'!$C$10</f>
        <v>4820</v>
      </c>
      <c r="J3" t="s">
        <v>179</v>
      </c>
      <c r="K3" s="8">
        <f>'Hypothèses'!$C$11</f>
        <v>5310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221</v>
      </c>
      <c r="B6" t="s">
        <v>21</v>
      </c>
      <c r="C6" t="s">
        <v>222</v>
      </c>
      <c r="D6" s="11">
        <f>'Hypothèses'!$C$13+'Hypothèses'!$C$14</f>
        <v>218</v>
      </c>
      <c r="E6" s="12">
        <f>'Hypothèses'!$C$9</f>
        <v>3190</v>
      </c>
      <c r="F6" s="12">
        <f>D6*E6</f>
        <v>695420</v>
      </c>
      <c r="G6" s="11">
        <f>'Hypothèses'!$C$13+'Hypothèses'!$C$14</f>
        <v>218</v>
      </c>
      <c r="H6" s="12">
        <f>'Hypothèses'!$C$10</f>
        <v>4820</v>
      </c>
      <c r="I6" s="12">
        <f>G6*H6</f>
        <v>1050760</v>
      </c>
      <c r="J6" s="11">
        <f>'Hypothèses'!$C$13+'Hypothèses'!$C$14</f>
        <v>218</v>
      </c>
      <c r="K6" s="12">
        <f>'Hypothèses'!$C$11</f>
        <v>5310</v>
      </c>
      <c r="L6" s="12">
        <f>J6*K6</f>
        <v>1157580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821000</v>
      </c>
      <c r="F7" s="10">
        <f>D7*E7</f>
        <v>821000</v>
      </c>
      <c r="G7" s="9">
        <f>1</f>
        <v>1</v>
      </c>
      <c r="H7" s="10">
        <f>'Hypothèses'!$C$6</f>
        <v>821000</v>
      </c>
      <c r="I7" s="10">
        <f>G7*H7</f>
        <v>821000</v>
      </c>
      <c r="J7" s="9">
        <f>1</f>
        <v>1</v>
      </c>
      <c r="K7" s="10">
        <f>'Hypothèses'!$C$6</f>
        <v>821000</v>
      </c>
      <c r="L7" s="10">
        <f>J7*K7</f>
        <v>821000</v>
      </c>
    </row>
    <row r="8" spans="1:12">
      <c r="A8" t="s">
        <v>190</v>
      </c>
      <c r="B8" t="s">
        <v>8</v>
      </c>
      <c r="C8" t="s">
        <v>191</v>
      </c>
      <c r="D8" s="10">
        <f>F7</f>
        <v>821000</v>
      </c>
      <c r="E8" s="13">
        <f>'Hypothèses'!$C$7/100</f>
        <v>0.08</v>
      </c>
      <c r="F8" s="10">
        <f>D8*E8</f>
        <v>65680</v>
      </c>
      <c r="G8" s="10">
        <f>I7</f>
        <v>821000</v>
      </c>
      <c r="H8" s="13">
        <f>'Hypothèses'!$C$7/100</f>
        <v>0.08</v>
      </c>
      <c r="I8" s="10">
        <f>G8*H8</f>
        <v>65680</v>
      </c>
      <c r="J8" s="10">
        <f>L7</f>
        <v>821000</v>
      </c>
      <c r="K8" s="13">
        <f>'Hypothèses'!$C$7/100</f>
        <v>0.08</v>
      </c>
      <c r="L8" s="10">
        <f>J8*K8</f>
        <v>65680</v>
      </c>
    </row>
    <row r="9" spans="1:12">
      <c r="A9" t="s">
        <v>223</v>
      </c>
      <c r="B9" t="s">
        <v>21</v>
      </c>
      <c r="C9" t="s">
        <v>193</v>
      </c>
      <c r="D9" s="9">
        <f>'Hypothèses'!$C$13</f>
        <v>138</v>
      </c>
      <c r="E9" s="10">
        <f>'Hypothèses'!$C$17</f>
        <v>1430</v>
      </c>
      <c r="F9" s="10">
        <f>D9*E9</f>
        <v>197340</v>
      </c>
      <c r="G9" s="9">
        <f>'Hypothèses'!$C$13</f>
        <v>138</v>
      </c>
      <c r="H9" s="10">
        <f>'Hypothèses'!$C$17</f>
        <v>1430</v>
      </c>
      <c r="I9" s="10">
        <f>G9*H9</f>
        <v>197340</v>
      </c>
      <c r="J9" s="9">
        <f>'Hypothèses'!$C$13</f>
        <v>138</v>
      </c>
      <c r="K9" s="10">
        <f>'Hypothèses'!$C$17</f>
        <v>1430</v>
      </c>
      <c r="L9" s="10">
        <f>J9*K9</f>
        <v>197340</v>
      </c>
    </row>
    <row r="10" spans="1:12">
      <c r="A10" t="s">
        <v>207</v>
      </c>
      <c r="B10" t="s">
        <v>21</v>
      </c>
      <c r="C10" t="s">
        <v>208</v>
      </c>
      <c r="D10" s="9">
        <f>'Hypothèses'!$C$14</f>
        <v>80</v>
      </c>
      <c r="E10" s="10">
        <f>'Hypothèses'!$C$18</f>
        <v>2860</v>
      </c>
      <c r="F10" s="10">
        <f>D10*E10</f>
        <v>228800</v>
      </c>
      <c r="G10" s="9">
        <f>'Hypothèses'!$C$14</f>
        <v>80</v>
      </c>
      <c r="H10" s="10">
        <f>'Hypothèses'!$C$18</f>
        <v>2860</v>
      </c>
      <c r="I10" s="10">
        <f>G10*H10</f>
        <v>228800</v>
      </c>
      <c r="J10" s="9">
        <f>'Hypothèses'!$C$14</f>
        <v>80</v>
      </c>
      <c r="K10" s="10">
        <f>'Hypothèses'!$C$18</f>
        <v>2860</v>
      </c>
      <c r="L10" s="10">
        <f>J10*K10</f>
        <v>228800</v>
      </c>
    </row>
    <row r="11" spans="1:12">
      <c r="A11" t="s">
        <v>209</v>
      </c>
      <c r="B11" t="s">
        <v>21</v>
      </c>
      <c r="C11" t="s">
        <v>210</v>
      </c>
      <c r="D11" s="9">
        <f>'Hypothèses'!$C$14</f>
        <v>80</v>
      </c>
      <c r="E11" s="10">
        <f>'Hypothèses'!$C$19</f>
        <v>150</v>
      </c>
      <c r="F11" s="10">
        <f>D11*E11</f>
        <v>12000</v>
      </c>
      <c r="G11" s="9">
        <f>'Hypothèses'!$C$14</f>
        <v>80</v>
      </c>
      <c r="H11" s="10">
        <f>'Hypothèses'!$C$19</f>
        <v>150</v>
      </c>
      <c r="I11" s="10">
        <f>G11*H11</f>
        <v>12000</v>
      </c>
      <c r="J11" s="9">
        <f>'Hypothèses'!$C$14</f>
        <v>80</v>
      </c>
      <c r="K11" s="10">
        <f>'Hypothèses'!$C$19</f>
        <v>150</v>
      </c>
      <c r="L11" s="10">
        <f>J11*K11</f>
        <v>12000</v>
      </c>
    </row>
    <row r="12" spans="1:12">
      <c r="A12" t="s">
        <v>35</v>
      </c>
      <c r="B12" t="s">
        <v>8</v>
      </c>
      <c r="C12" t="s">
        <v>224</v>
      </c>
      <c r="D12" s="10">
        <f>F10</f>
        <v>228800</v>
      </c>
      <c r="E12" s="13">
        <f>'Hypothèses'!$C$21/100</f>
        <v>0.08</v>
      </c>
      <c r="F12" s="10">
        <f>D12*E12</f>
        <v>18304</v>
      </c>
      <c r="G12" s="10">
        <f>I10</f>
        <v>228800</v>
      </c>
      <c r="H12" s="13">
        <f>'Hypothèses'!$C$21/100</f>
        <v>0.08</v>
      </c>
      <c r="I12" s="10">
        <f>G12*H12</f>
        <v>18304</v>
      </c>
      <c r="J12" s="10">
        <f>L10</f>
        <v>228800</v>
      </c>
      <c r="K12" s="13">
        <f>'Hypothèses'!$C$21/100</f>
        <v>0.08</v>
      </c>
      <c r="L12" s="10">
        <f>J12*K12</f>
        <v>18304</v>
      </c>
    </row>
    <row r="13" spans="1:12">
      <c r="A13" t="s">
        <v>211</v>
      </c>
      <c r="B13" t="s">
        <v>8</v>
      </c>
      <c r="C13" t="s">
        <v>219</v>
      </c>
      <c r="D13" s="10">
        <f>F9+F10+F11+F12</f>
        <v>456444</v>
      </c>
      <c r="E13" s="13">
        <f>'Hypothèses'!$C$22/100</f>
        <v>0.12</v>
      </c>
      <c r="F13" s="10">
        <f>D13*E13</f>
        <v>54773.27999999999884</v>
      </c>
      <c r="G13" s="10">
        <f>I9+I10+I11+I12</f>
        <v>456444</v>
      </c>
      <c r="H13" s="13">
        <f>'Hypothèses'!$C$22/100</f>
        <v>0.12</v>
      </c>
      <c r="I13" s="10">
        <f>G13*H13</f>
        <v>54773.27999999999884</v>
      </c>
      <c r="J13" s="10">
        <f>L9+L10+L11+L12</f>
        <v>456444</v>
      </c>
      <c r="K13" s="13">
        <f>'Hypothèses'!$C$22/100</f>
        <v>0.12</v>
      </c>
      <c r="L13" s="10">
        <f>J13*K13</f>
        <v>54773.27999999999884</v>
      </c>
    </row>
    <row r="14" spans="1:12">
      <c r="A14" t="s">
        <v>125</v>
      </c>
      <c r="B14" t="s">
        <v>21</v>
      </c>
      <c r="C14" t="s">
        <v>213</v>
      </c>
      <c r="D14" s="9">
        <f>'Hypothèses'!$C$14</f>
        <v>80</v>
      </c>
      <c r="E14" s="10">
        <f>'Hypothèses'!$C$24*'Hypothèses'!$C$25/100</f>
        <v>45</v>
      </c>
      <c r="F14" s="10">
        <f>D14*E14</f>
        <v>3600</v>
      </c>
      <c r="G14" s="9">
        <f>'Hypothèses'!$C$14</f>
        <v>80</v>
      </c>
      <c r="H14" s="10">
        <f>'Hypothèses'!$C$24*'Hypothèses'!$C$25/100</f>
        <v>45</v>
      </c>
      <c r="I14" s="10">
        <f>G14*H14</f>
        <v>3600</v>
      </c>
      <c r="J14" s="9">
        <f>'Hypothèses'!$C$14</f>
        <v>80</v>
      </c>
      <c r="K14" s="10">
        <f>'Hypothèses'!$C$24*'Hypothèses'!$C$25/100</f>
        <v>45</v>
      </c>
      <c r="L14" s="10">
        <f>J14*K14</f>
        <v>3600</v>
      </c>
    </row>
    <row r="15" spans="1:12">
      <c r="A15" t="s">
        <v>45</v>
      </c>
      <c r="B15" t="s">
        <v>8</v>
      </c>
      <c r="C15" t="s">
        <v>195</v>
      </c>
      <c r="D15" s="10">
        <f>F9+F10+F11</f>
        <v>438140</v>
      </c>
      <c r="E15" s="13">
        <f>'Hypothèses'!$C$26/100</f>
        <v>0.03</v>
      </c>
      <c r="F15" s="10">
        <f>D15*E15</f>
        <v>13144.19999999999891</v>
      </c>
      <c r="G15" s="10">
        <f>I9+I10+I11</f>
        <v>438140</v>
      </c>
      <c r="H15" s="13">
        <f>'Hypothèses'!$C$26/100</f>
        <v>0.03</v>
      </c>
      <c r="I15" s="10">
        <f>G15*H15</f>
        <v>13144.19999999999891</v>
      </c>
      <c r="J15" s="10">
        <f>L9+L10+L11</f>
        <v>438140</v>
      </c>
      <c r="K15" s="13">
        <f>'Hypothèses'!$C$26/100</f>
        <v>0.03</v>
      </c>
      <c r="L15" s="10">
        <f>J15*K15</f>
        <v>13144.19999999999891</v>
      </c>
    </row>
    <row r="16" spans="1:12">
      <c r="A16" t="s">
        <v>46</v>
      </c>
      <c r="B16" t="s">
        <v>8</v>
      </c>
      <c r="C16" t="s">
        <v>195</v>
      </c>
      <c r="D16" s="10">
        <f>F9+F10+F11+F12</f>
        <v>456444</v>
      </c>
      <c r="E16" s="13">
        <f>'Hypothèses'!$C$27/100</f>
        <v>0.1</v>
      </c>
      <c r="F16" s="10">
        <f>D16*E16</f>
        <v>45644.40000000000146</v>
      </c>
      <c r="G16" s="10">
        <f>I9+I10+I11+I12</f>
        <v>456444</v>
      </c>
      <c r="H16" s="13">
        <f>'Hypothèses'!$C$27/100</f>
        <v>0.1</v>
      </c>
      <c r="I16" s="10">
        <f>G16*H16</f>
        <v>45644.40000000000146</v>
      </c>
      <c r="J16" s="10">
        <f>L9+L10+L11+L12</f>
        <v>456444</v>
      </c>
      <c r="K16" s="13">
        <f>'Hypothèses'!$C$27/100</f>
        <v>0.1</v>
      </c>
      <c r="L16" s="10">
        <f>J16*K16</f>
        <v>45644.40000000000146</v>
      </c>
    </row>
    <row r="17" spans="1:12">
      <c r="A17" t="s">
        <v>196</v>
      </c>
      <c r="B17" t="s">
        <v>8</v>
      </c>
      <c r="C17" t="s">
        <v>197</v>
      </c>
      <c r="D17" s="10">
        <f>F7+F8+0.5*(F9+F10+F11+F12+F13+F15+F16)</f>
        <v>1171682.93999999994412</v>
      </c>
      <c r="E17" s="13">
        <f>'Hypothèses'!$C$30/100*'Hypothèses'!$C$32/12</f>
        <v>0.083333333333333</v>
      </c>
      <c r="F17" s="10">
        <f>D17*E17</f>
        <v>97640.24499999999534</v>
      </c>
      <c r="G17" s="10">
        <f>I7+I8+0.5*(I9+I10+I11+I12+I13+I15+I16)</f>
        <v>1171682.93999999994412</v>
      </c>
      <c r="H17" s="13">
        <f>'Hypothèses'!$C$30/100*'Hypothèses'!$C$32/12</f>
        <v>0.083333333333333</v>
      </c>
      <c r="I17" s="10">
        <f>G17*H17</f>
        <v>97640.24499999999534</v>
      </c>
      <c r="J17" s="10">
        <f>L7+L8+0.5*(L9+L10+L11+L12+L13+L15+L16)</f>
        <v>1171682.93999999994412</v>
      </c>
      <c r="K17" s="13">
        <f>'Hypothèses'!$C$30/100*'Hypothèses'!$C$32/12</f>
        <v>0.083333333333333</v>
      </c>
      <c r="L17" s="10">
        <f>J17*K17</f>
        <v>97640.24499999999534</v>
      </c>
    </row>
    <row r="18" spans="1:12">
      <c r="A18" t="s">
        <v>48</v>
      </c>
      <c r="B18" t="s">
        <v>8</v>
      </c>
      <c r="C18" t="s">
        <v>198</v>
      </c>
      <c r="D18" s="10">
        <f>F6</f>
        <v>695420</v>
      </c>
      <c r="E18" s="13">
        <f>'Hypothèses'!$C$28/100</f>
        <v>0.03</v>
      </c>
      <c r="F18" s="10">
        <f>D18*E18</f>
        <v>20862.59999999999854</v>
      </c>
      <c r="G18" s="10">
        <f>I6</f>
        <v>1050760</v>
      </c>
      <c r="H18" s="13">
        <f>'Hypothèses'!$C$28/100</f>
        <v>0.03</v>
      </c>
      <c r="I18" s="10">
        <f>G18*H18</f>
        <v>31522.79999999999927</v>
      </c>
      <c r="J18" s="10">
        <f>L6</f>
        <v>1157580</v>
      </c>
      <c r="K18" s="13">
        <f>'Hypothèses'!$C$28/100</f>
        <v>0.03</v>
      </c>
      <c r="L18" s="10">
        <f>J18*K18</f>
        <v>34727.40000000000146</v>
      </c>
    </row>
    <row r="20" spans="1:12">
      <c r="A20" s="15" t="s">
        <v>199</v>
      </c>
      <c r="B20" s="16"/>
      <c r="C20" s="16"/>
      <c r="D20" s="16"/>
      <c r="E20" s="16"/>
      <c r="F20" s="17">
        <f>F7+F8+F9+F10+F11+F12+F13+F14+F15+F16+F17+F18</f>
        <v>1578788.72500000009313</v>
      </c>
      <c r="G20" s="16"/>
      <c r="H20" s="16"/>
      <c r="I20" s="17">
        <f>I7+I8+I9+I10+I11+I12+I13+I14+I15+I16+I17+I18</f>
        <v>1589448.92500000004657</v>
      </c>
      <c r="J20" s="16"/>
      <c r="K20" s="16"/>
      <c r="L20" s="17">
        <f>L7+L8+L9+L10+L11+L12+L13+L14+L15+L16+L17+L18</f>
        <v>1592653.52499999990687</v>
      </c>
    </row>
    <row r="21" spans="1:12">
      <c r="A21" s="1" t="s">
        <v>200</v>
      </c>
      <c r="F21" s="10">
        <f>F6-(F7+F8+F9+F10+F11+F12+F13+F14+F15+F16)</f>
        <v>-764865.87999999988824</v>
      </c>
      <c r="I21" s="10">
        <f>I6-(I7+I8+I9+I10+I11+I12+I13+I14+I15+I16)</f>
        <v>-409525.87999999988824</v>
      </c>
      <c r="L21" s="10">
        <f>L6-(L7+L8+L9+L10+L11+L12+L13+L14+L15+L16)</f>
        <v>-302705.87999999988824</v>
      </c>
    </row>
    <row r="22" spans="1:12">
      <c r="A22" s="1" t="s">
        <v>151</v>
      </c>
      <c r="F22" s="12">
        <f>F6-F20</f>
        <v>-883368.72500000009313</v>
      </c>
      <c r="I22" s="12">
        <f>I6-I20</f>
        <v>-538688.92500000004657</v>
      </c>
      <c r="L22" s="12">
        <f>L6-L20</f>
        <v>-435073.52499999990687</v>
      </c>
    </row>
    <row r="23" spans="1:12">
      <c r="A23" s="1" t="s">
        <v>201</v>
      </c>
      <c r="F23" s="14">
        <f>F22/F6</f>
        <v>-1.27026649362975</v>
      </c>
      <c r="I23" s="14">
        <f>I22/I6</f>
        <v>-0.51266599889604</v>
      </c>
      <c r="L23" s="14">
        <f>L22/L6</f>
        <v>-0.3758474792239</v>
      </c>
    </row>
    <row r="24" spans="1:12">
      <c r="A24" s="1" t="s">
        <v>202</v>
      </c>
      <c r="F24" s="10">
        <f>F7+(F22-'Hypothèses'!$C$33/100*F6)/((1+'Hypothèses'!$C$7/100)*(1+'Hypothèses'!$C$30/100*'Hypothèses'!$C$32/12))</f>
        <v>-23172.41452991461847</v>
      </c>
      <c r="I24" s="10">
        <f>I7+(I22-'Hypothèses'!$C$33/100*I6)/((1+'Hypothèses'!$C$7/100)*(1+'Hypothèses'!$C$30/100*'Hypothèses'!$C$32/12))</f>
        <v>225869.29487179475836</v>
      </c>
      <c r="L24" s="10">
        <f>L7+(L22-'Hypothèses'!$C$33/100*L6)/((1+'Hypothèses'!$C$7/100)*(1+'Hypothèses'!$C$30/100*'Hypothèses'!$C$32/12))</f>
        <v>300734.59401709405938</v>
      </c>
    </row>
    <row r="25" spans="1:12">
      <c r="A25" s="1" t="s">
        <v>203</v>
      </c>
      <c r="F25" s="13">
        <f>F24/F7-1</f>
        <v>-1.028224621839116</v>
      </c>
      <c r="I25" s="13">
        <f>I24/I7-1</f>
        <v>-0.72488514631937</v>
      </c>
      <c r="L25" s="13">
        <f>L24/L7-1</f>
        <v>-0.63369720582571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Hypothèses</vt:lpstr>
      <vt:lpstr>Comparatif</vt:lpstr>
      <vt:lpstr>Rénover-revendre</vt:lpstr>
      <vt:lpstr>Extension max</vt:lpstr>
      <vt:lpstr>Surélévation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2026-10-23T19:01:26+00:00</dcterms:created>
  <dcterms:modified xsi:type="dcterms:W3CDTF">2026-10-23T19:01:26+00:00</dcterms:modified>
  <dc:title>Untitled Spreadsheet</dc:title>
  <dc:description/>
  <dc:subject/>
  <cp:keywords/>
  <cp:category/>
</cp:coreProperties>
</file>