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<sst xmlns="http://schemas.openxmlformats.org/spreadsheetml/2006/main" uniqueCount="317">
  <si>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Synthèse du projet : construction neuve</t>
  </si>
  <si>
    <t>annonce 4778 · Èze.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</si>
  <si>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</si>
  <si>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</si>
  <si>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</si>
  <si>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</si>
  <si>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</si>
  <si>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</si>
  <si>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</si>
  <si>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</si>
  <si>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</si>
  <si>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</si>
  <si>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</si>
  <si>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</si>
  <si>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</si>
  <si>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</si>
  <si>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</si>
  <si>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</si>
  <si>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</si>
  <si>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4778 · Èze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</si>
  <si>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</si>
  <si>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</si>
  <si>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</si>
  <si>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</si>
  <si>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</si>
  <si>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</si>
  <si>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</si>
  <si>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</si>
  <si>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</si>
  <si>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</si>
  <si>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</si>
  <si>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</si>
  <si>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haut de gamme Èze)</t>
  </si>
  <si>
    <t>Prix de revente prudent</t>
  </si>
  <si>
    <t>€/m²</t>
  </si>
  <si>
    <t>Q1 des ventes DVF de maisons à Èze, 2021-2025</t>
  </si>
  <si>
    <t>Prix de revente médian</t>
  </si>
  <si>
    <t>Médiane des ventes DVF de maisons à Èze, 2021-2025</t>
  </si>
  <si>
    <t>Prix de revente optimiste (vue mer)</t>
  </si>
  <si>
    <t>Médiane + prime vue mer panoramique (hypothèse)</t>
  </si>
  <si>
    <t>Surfaces (m²)</t>
  </si>
  <si>
    <t>Surface habitable existante</t>
  </si>
  <si>
    <t>m²</t>
  </si>
  <si>
    <t>Extension prudente (plain-pied)</t>
  </si>
  <si>
    <t>Calcul PLU : min(emprise restante 112 m², 80 m²)</t>
  </si>
  <si>
    <t>Extension maximale</t>
  </si>
  <si>
    <t>Calcul PLU : emprise restante 112 m² sur 2 niveaux en gradins (coef. 0,8), plafonnée au plancher résiduel</t>
  </si>
  <si>
    <t>Travaux (€ HT)</t>
  </si>
  <si>
    <t>Rénovation lourde haut de gamme</t>
  </si>
  <si>
    <t>Estimation à confirmer par devis</t>
  </si>
  <si>
    <t>Extension en pente, site inscrit</t>
  </si>
  <si>
    <t>Fourchette 3 500-4 500 €/m² (ABF, soutènements, accès difficile)</t>
  </si>
  <si>
    <t>Terrassement et soutènement (extension)</t>
  </si>
  <si>
    <t>€/m² créé</t>
  </si>
  <si>
    <t>Pente 27,2 %,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</si>
  <si>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</si>
  <si>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</si>
  <si>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</si>
  <si>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</si>
  <si>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</si>
  <si>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</si>
  <si>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</si>
  <si>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</si>
  <si>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</si>
  <si>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</si>
  <si>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</si>
  <si>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</si>
  <si>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</si>
  <si>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</si>
  <si>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</si>
  <si>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</si>
  <si>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</si>
  <si>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</si>
  <si>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</si>
  <si>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</si>
  <si>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</si>
  <si>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</si>
  <si>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</si>
  <si>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</si>
  <si>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</si>
  <si>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</si>
  <si>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</si>
  <si>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Construction neuve : projet</t>
  </si>
  <si>
    <t>Surface de plancher</t>
  </si>
  <si>
    <t>Maximum PLU : 30 % d'emprise, R+1, 6 places de stationnement (étude locale). Le calcul du site donne 318 m² (gradins, piscine déduite)</t>
  </si>
  <si>
    <t>Surface habitable vendue / surface de plancher</t>
  </si>
  <si>
    <t>380 m² habitables vendus pour 400 m² de plancher (étude locale : 370 à 380 m²)</t>
  </si>
  <si>
    <t>Prix de vente TTC du neuf : prudent</t>
  </si>
  <si>
    <t>Bas de la fourchette du secteur (neuf haut de gamme à Èze)</t>
  </si>
  <si>
    <t>Prix de vente TTC du neuf : médian</t>
  </si>
  <si>
    <t>Prix visé par l'étude locale, neuf haut de gamme à Èze</t>
  </si>
  <si>
    <t>Prix de vente TTC du neuf : optimiste</t>
  </si>
  <si>
    <t>Haut de la fourchette du secteur (19 000 à 20 000 €/m², vue mer)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</si>
  <si>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</si>
  <si>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</si>
  <si>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</si>
  <si>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</si>
  <si>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</si>
  <si>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</si>
  <si>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</si>
  <si>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</si>
  <si>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</si>
  <si>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visé par l'étude locale : 1,2 à 1,3 M€ (prix affiché : 1 380 000 €)</t>
  </si>
  <si>
    <t>Frais d'agence TTC</t>
  </si>
  <si>
    <t>Étude locale : montant fixe, à ajuster si le prix change</t>
  </si>
  <si>
    <t>Notaire</t>
  </si>
  <si>
    <t>Régime marchand de biens avec engagement de construire, à confirmer avec le notaire</t>
  </si>
  <si>
    <t>Construction neuve : travaux (TTC)</t>
  </si>
  <si>
    <t>Étude locale : 1 248 000 € dont 150 000 € de démolition et VRD (promoteur local)</t>
  </si>
  <si>
    <t>Démolition et désamiantage</t>
  </si>
  <si>
    <t>Étude locale : selon la surface à démolir</t>
  </si>
  <si>
    <t>Piscine</t>
  </si>
  <si>
    <t>Villa haut de gamme (neuf à 15 268 €/m²) : piscine incluse</t>
  </si>
  <si>
    <t>Cuisine</t>
  </si>
  <si>
    <t>Étude locale : forfait proportionné à la surface et à la gamme</t>
  </si>
  <si>
    <t>Jardin et extérieurs</t>
  </si>
  <si>
    <t>Ameublement</t>
  </si>
  <si>
    <t>Étude locale : forfait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</si>
  <si>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</si>
  <si>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</si>
  <si>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</si>
  <si>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</si>
  <si>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</si>
  <si>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</si>
  <si>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</si>
  <si>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Ajouté.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</si>
  <si>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</si>
  <si>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</si>
  <si>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</si>
  <si>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Dommages-ouvrage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</si>
  <si>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</si>
  <si>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</si>
  <si>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</si>
  <si>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</si>
  <si>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</si>
  <si>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</si>
  <si>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</si>
  <si>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</si>
  <si>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</si>
  <si>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135 638 €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</si>
  <si>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</si>
  <si>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</si>
  <si>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</si>
  <si>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</si>
  <si>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</si>
  <si>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</si>
  <si>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4778 · Èze)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</si>
  <si>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</si>
  <si>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</si>
  <si>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</si>
  <si>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</si>
  <si>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</si>
  <si>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</si>
  <si>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</si>
  <si>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</si>
  <si>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</si>
  <si>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</si>
  <si>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</si>
  <si>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</si>
  <si>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</si>
  <si>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</si>
  <si>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</si>
  <si>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</si>
  <si>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</si>
  <si>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</si>
  <si>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</si>
  <si>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</si>
  <si>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</si>
  <si>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</si>
  <si>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</si>
  <si>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</si>
  <si>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</si>
  <si>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</si>
  <si>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</si>
  <si>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</si>
  <si>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</si>
  <si>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</si>
  <si>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</si>
  <si>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</si>
  <si>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</si>
  <si>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</si>
  <si>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</si>
  <si>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</si>
  <si>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</si>
  <si>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</si>
  <si>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</si>
  <si>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</si>
  <si>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</si>
  <si>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</si>
  <si>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</si>
  <si>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</si>
  <si>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</si>
  <si>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</si>
  <si>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</si>
  <si>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</si>
  <si>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</si>
  <si>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</si>
  <si>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</si>
  <si>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</si>
  <si>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</si>
  <si>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</si>
  <si>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</si>
  <si>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</si>
  <si>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</si>
  <si>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</si>
  <si>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</si>
  <si>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</si>
  <si>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</si>
  <si>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</si>
  <si>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</si>
  <si>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</si>
  <si>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</si>
  <si>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</si>
  <si>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</si>
  <si>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</si>
  <si>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</si>
  <si>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</si>
  <si>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</si>
  <si>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</si>
  <si>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</si>
  <si>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</si>
  <si>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</si>
  <si>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</si>
  <si>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</si>
  <si>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</si>
  <si>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</si>
  <si>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</si>
  <si>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</si>
  <si>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</si>
  <si>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</si>
  <si>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</si>
  <si>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</si>
  <si>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</si>
  <si>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</si>
  <si>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</si>
  <si>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</si>
  <si>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</si>
  <si>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</si>
  <si>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</si>
  <si>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</si>
  <si>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</si>
  <si>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</si>
  <si>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</si>
  <si>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</si>
  <si>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</si>
  <si>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4778 · Èze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</si>
  <si>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</si>
  <si>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</si>
  <si>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</si>
  <si>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</si>
  <si>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</si>
  <si>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</si>
  <si>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</si>
  <si>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</si>
  <si>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</si>
  <si>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</si>
  <si>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</si>
  <si>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</si>
  <si>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</si>
  <si>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112 m² (228 m² autorisés, moins piscine 30 m² et bâti existant 79 m² (BD TOPO) + 10 % de terrasses, soit 86 m²). 180 m² supposent 2 niveaux en gradins sur une pente de 27,2 % : coûteux, et l'ABF (site inscrit) peut réduire le projet.</t>
  </si>
  <si>
    <t>Surélévation</t>
  </si>
  <si>
    <t>Impossible</t>
  </si>
  <si>
    <t>Le bâti a déjà 2 niveaux et mesure 7,1 m pour 7 m à l'égout autorisés (8,50 m en hauteur frontale à Èze) : aucun niveau supplémentaire possible.</t>
  </si>
  <si>
    <t>non chiffré</t>
  </si>
  <si>
    <t>Extension + rénovation</t>
  </si>
  <si>
    <t>Extension prudente de 80 m² de plain-pied et rénovation lourde des 115 m² existants. Reste soumis à l'avis de l'ABF (site inscrit), mais sans gradins.</t>
  </si>
  <si>
    <t>Division parcellaire</t>
  </si>
  <si>
    <t>Unité foncière de 763 m², sous le seuil de 800 m² retenu pour détacher un lot : avec emprise 30 %, pleine terre 45 %, reculs de 3 m et pente de 27,2 %, le lot détaché serait inférieur à 300 m² et la maison existante ne respecterait plus les reculs.</t>
  </si>
  <si>
    <t>Démolition-reconstruction (neuf)</t>
  </si>
  <si>
    <t>Villa neuve de 400 m² de plancher, soit 380 m² habitables vendus (maximum PLU : emprise 228 m², 2 niveaux, stationnement), vendue au prix du neuf haut de gamme. Bilan complet : TVA, financement participatif et impôt sur les sociétés. En site inscrit, la démolition exige un permis de démolir et l'avis de l'ABF ; sur une pente de 27,2 %, les terrassements pèsent lourd.</t>
  </si>
  <si>
    <t>Lots (plusieurs logements)</t>
  </si>
  <si>
    <t>Aucun lot à bâtir (division impossible) et zone UFb3 pavillonnaire : un immeuble de plusieurs logements n'est pas dans l'esprit de la zone, avec 1,5 place de stationnement par logement à fournir sur un terrain en pente.</t>
  </si>
  <si>
    <t>Meilleur scénario (marge nette médiane)</t>
  </si>
  <si>
    <t>Pour le classement (hors improbable)</t>
  </si>
  <si>
    <t>Estimation indicative fondée sur le règlement du PLU (zone UFb3),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</si>
  <si>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</si>
  <si>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</si>
  <si>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</si>
  <si>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</si>
  <si>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</si>
  <si>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</si>
  <si>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</si>
  <si>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</si>
  <si>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</si>
  <si>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</si>
  <si>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</si>
  <si>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</si>
  <si>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</si>
  <si>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</si>
  <si>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</si>
  <si>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</si>
  <si>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</si>
  <si>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</si>
  <si>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</si>
  <si>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</si>
  <si>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</si>
  <si>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</si>
  <si>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</si>
  <si>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</si>
  <si>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</si>
  <si>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</si>
  <si>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112 m² (228 m² autorisés, moins piscine 30 m² et bâti existant 79 m² (BD TOPO) + 10 % de terrasses, soit 86 m²). 180 m² supposent 2 niveaux en gradins sur une pente de 27,2 %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</si>
  <si>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</si>
  <si>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</si>
  <si>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</si>
  <si>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</si>
  <si>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</si>
  <si>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27,2 %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</si>
  <si>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</si>
  <si>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</si>
  <si>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</si>
  <si>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80 m² de plain-pied et rénovation lourde des 115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</si>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</sst>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5801840</v>
      </c>
      <c r="E5" s="35">
        <f>Bilan!B25</f>
        <v>3177360</v>
      </c>
      <c r="H5" s="35">
        <f>Bilan!B34</f>
        <v>569449.31999999994878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1059213.010000000242144</v>
      </c>
      <c r="E9" s="36">
        <f>Bilan!B46</f>
        <v>0.21907801869752</v>
      </c>
      <c r="H9" s="36">
        <f>Bilan!B47</f>
        <v>0.37124553473374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476604</v>
      </c>
      <c r="E13" s="36">
        <f>Bilan!B48</f>
        <v>2.22241737375263</v>
      </c>
      <c r="H13" s="35">
        <f>MIN('Trésorerie'!E35:AN35)</f>
        <v>156390.74666666646954</v>
      </c>
    </row>
    <row r="17" spans="1:9">
      <c r="A17" s="1" t="s">
        <v>11</v>
      </c>
    </row>
    <row r="18" spans="1:9">
      <c r="B18" t="s">
        <v>12</v>
      </c>
      <c r="C18" s="10">
        <f>'Hypothèses'!$C$44</f>
        <v>1200000</v>
      </c>
    </row>
    <row r="19" spans="1:9">
      <c r="B19" t="s">
        <v>13</v>
      </c>
      <c r="C19" s="22">
        <f>Bilan!B40</f>
        <v>380</v>
      </c>
    </row>
    <row r="20" spans="1:9">
      <c r="B20" t="s">
        <v>14</v>
      </c>
      <c r="C20" s="8">
        <f>'Hypothèses'!$C$38</f>
        <v>15268</v>
      </c>
    </row>
    <row r="21" spans="1:9">
      <c r="B21" t="s">
        <v>15</v>
      </c>
      <c r="C21" s="10">
        <f>'Hypothèses'!$C$48</f>
        <v>1098000</v>
      </c>
    </row>
    <row r="22" spans="1:9">
      <c r="B22" t="s">
        <v>16</v>
      </c>
      <c r="C22" s="13">
        <f>'Hypothèses'!$C$64/100</f>
        <v>0.09</v>
      </c>
    </row>
    <row r="23" spans="1:9">
      <c r="B23" t="s">
        <v>17</v>
      </c>
      <c r="C23" s="27">
        <f>'Hypothèses'!$C$70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0" workbookViewId="0" showGridLines="true" showRowColHeaders="1">
      <pane ySplit="4" activePane="bottomLeft" state="frozen" topLeftCell="A5"/>
      <selection pane="bottomLeft" activeCell="C71" sqref="C71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1380000.0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8340</v>
      </c>
      <c r="D9" t="s">
        <v>35</v>
      </c>
    </row>
    <row r="10" spans="1:4">
      <c r="A10" t="s">
        <v>36</v>
      </c>
      <c r="B10" t="s">
        <v>34</v>
      </c>
      <c r="C10" s="6">
        <v>11650</v>
      </c>
      <c r="D10" t="s">
        <v>37</v>
      </c>
    </row>
    <row r="11" spans="1:4">
      <c r="A11" t="s">
        <v>38</v>
      </c>
      <c r="B11" t="s">
        <v>34</v>
      </c>
      <c r="C11" s="6">
        <v>13500</v>
      </c>
      <c r="D11" t="s">
        <v>39</v>
      </c>
    </row>
    <row r="12" spans="1:4">
      <c r="A12" s="4" t="s">
        <v>40</v>
      </c>
      <c r="B12" s="4"/>
      <c r="C12" s="4"/>
      <c r="D12" s="4"/>
    </row>
    <row r="13" spans="1:4">
      <c r="A13" t="s">
        <v>41</v>
      </c>
      <c r="B13" t="s">
        <v>42</v>
      </c>
      <c r="C13" s="6">
        <v>115</v>
      </c>
      <c r="D13" t="s">
        <v>28</v>
      </c>
    </row>
    <row r="14" spans="1:4">
      <c r="A14" t="s">
        <v>43</v>
      </c>
      <c r="B14" t="s">
        <v>42</v>
      </c>
      <c r="C14" s="6">
        <v>80</v>
      </c>
      <c r="D14" t="s">
        <v>44</v>
      </c>
    </row>
    <row r="15" spans="1:4">
      <c r="A15" t="s">
        <v>45</v>
      </c>
      <c r="B15" t="s">
        <v>42</v>
      </c>
      <c r="C15" s="6">
        <v>180</v>
      </c>
      <c r="D15" t="s">
        <v>46</v>
      </c>
    </row>
    <row r="16" spans="1:4">
      <c r="A16" s="4" t="s">
        <v>47</v>
      </c>
      <c r="B16" s="4"/>
      <c r="C16" s="4"/>
      <c r="D16" s="4"/>
    </row>
    <row r="17" spans="1:4">
      <c r="A17" t="s">
        <v>48</v>
      </c>
      <c r="B17" t="s">
        <v>34</v>
      </c>
      <c r="C17" s="6">
        <v>1500</v>
      </c>
      <c r="D17" t="s">
        <v>49</v>
      </c>
    </row>
    <row r="18" spans="1:4">
      <c r="A18" t="s">
        <v>50</v>
      </c>
      <c r="B18" t="s">
        <v>34</v>
      </c>
      <c r="C18" s="6">
        <v>4000</v>
      </c>
      <c r="D18" t="s">
        <v>51</v>
      </c>
    </row>
    <row r="19" spans="1:4">
      <c r="A19" t="s">
        <v>52</v>
      </c>
      <c r="B19" t="s">
        <v>53</v>
      </c>
      <c r="C19" s="6">
        <v>300</v>
      </c>
      <c r="D19" t="s">
        <v>54</v>
      </c>
    </row>
    <row r="20" spans="1:4">
      <c r="A20" s="4" t="s">
        <v>55</v>
      </c>
      <c r="B20" s="4"/>
      <c r="C20" s="4"/>
      <c r="D20" s="4"/>
    </row>
    <row r="21" spans="1:4">
      <c r="A21" t="s">
        <v>56</v>
      </c>
      <c r="B21" t="s">
        <v>57</v>
      </c>
      <c r="C21" s="6">
        <v>8</v>
      </c>
      <c r="D21" t="s">
        <v>58</v>
      </c>
    </row>
    <row r="22" spans="1:4">
      <c r="A22" t="s">
        <v>59</v>
      </c>
      <c r="B22" t="s">
        <v>57</v>
      </c>
      <c r="C22" s="6">
        <v>12</v>
      </c>
      <c r="D22" t="s">
        <v>60</v>
      </c>
    </row>
    <row r="23" spans="1:4">
      <c r="A23" t="s">
        <v>61</v>
      </c>
      <c r="B23" t="s">
        <v>57</v>
      </c>
      <c r="C23" s="6">
        <v>6</v>
      </c>
      <c r="D23" t="s">
        <v>58</v>
      </c>
    </row>
    <row r="24" spans="1:4">
      <c r="A24" t="s">
        <v>62</v>
      </c>
      <c r="B24" t="s">
        <v>34</v>
      </c>
      <c r="C24" s="6">
        <v>1000</v>
      </c>
      <c r="D24" t="s">
        <v>63</v>
      </c>
    </row>
    <row r="25" spans="1:4">
      <c r="A25" t="s">
        <v>64</v>
      </c>
      <c r="B25" t="s">
        <v>30</v>
      </c>
      <c r="C25" s="6">
        <v>7.5</v>
      </c>
      <c r="D25" t="s">
        <v>65</v>
      </c>
    </row>
    <row r="26" spans="1:4">
      <c r="A26" t="s">
        <v>66</v>
      </c>
      <c r="B26" t="s">
        <v>57</v>
      </c>
      <c r="C26" s="6">
        <v>3</v>
      </c>
      <c r="D26" t="s">
        <v>58</v>
      </c>
    </row>
    <row r="27" spans="1:4">
      <c r="A27" t="s">
        <v>67</v>
      </c>
      <c r="B27" t="s">
        <v>57</v>
      </c>
      <c r="C27" s="6">
        <v>10</v>
      </c>
      <c r="D27" t="s">
        <v>68</v>
      </c>
    </row>
    <row r="28" spans="1:4">
      <c r="A28" t="s">
        <v>69</v>
      </c>
      <c r="B28" t="s">
        <v>70</v>
      </c>
      <c r="C28" s="6">
        <v>3</v>
      </c>
      <c r="D28" t="s">
        <v>71</v>
      </c>
    </row>
    <row r="29" spans="1:4">
      <c r="A29" s="4" t="s">
        <v>72</v>
      </c>
      <c r="B29" s="4"/>
      <c r="C29" s="4"/>
      <c r="D29" s="4"/>
    </row>
    <row r="30" spans="1:4">
      <c r="A30" t="s">
        <v>73</v>
      </c>
      <c r="B30" t="s">
        <v>74</v>
      </c>
      <c r="C30" s="6">
        <v>5</v>
      </c>
      <c r="D30" t="s">
        <v>75</v>
      </c>
    </row>
    <row r="31" spans="1:4">
      <c r="A31" t="s">
        <v>76</v>
      </c>
      <c r="B31" t="s">
        <v>77</v>
      </c>
      <c r="C31" s="6">
        <v>12</v>
      </c>
      <c r="D31" t="s">
        <v>58</v>
      </c>
    </row>
    <row r="32" spans="1:4">
      <c r="A32" t="s">
        <v>78</v>
      </c>
      <c r="B32" t="s">
        <v>77</v>
      </c>
      <c r="C32" s="6">
        <v>20</v>
      </c>
      <c r="D32" t="s">
        <v>79</v>
      </c>
    </row>
    <row r="33" spans="1:4">
      <c r="A33" t="s">
        <v>80</v>
      </c>
      <c r="B33" t="s">
        <v>70</v>
      </c>
      <c r="C33" s="6">
        <v>15</v>
      </c>
      <c r="D33" t="s">
        <v>81</v>
      </c>
    </row>
    <row r="34" spans="1:4">
      <c r="A34" s="4" t="s">
        <v>82</v>
      </c>
      <c r="B34" s="4"/>
      <c r="C34" s="4"/>
      <c r="D34" s="4"/>
    </row>
    <row r="35" spans="1:4">
      <c r="A35" t="s">
        <v>83</v>
      </c>
      <c r="B35" t="s">
        <v>42</v>
      </c>
      <c r="C35" s="6">
        <v>400</v>
      </c>
      <c r="D35" t="s">
        <v>84</v>
      </c>
    </row>
    <row r="36" spans="1:4">
      <c r="A36" t="s">
        <v>85</v>
      </c>
      <c r="B36" t="s">
        <v>30</v>
      </c>
      <c r="C36" s="6">
        <v>95</v>
      </c>
      <c r="D36" t="s">
        <v>86</v>
      </c>
    </row>
    <row r="37" spans="1:4">
      <c r="A37" t="s">
        <v>87</v>
      </c>
      <c r="B37" t="s">
        <v>34</v>
      </c>
      <c r="C37" s="6">
        <v>13000</v>
      </c>
      <c r="D37" t="s">
        <v>88</v>
      </c>
    </row>
    <row r="38" spans="1:4">
      <c r="A38" t="s">
        <v>89</v>
      </c>
      <c r="B38" t="s">
        <v>34</v>
      </c>
      <c r="C38" s="6">
        <v>15268</v>
      </c>
      <c r="D38" t="s">
        <v>90</v>
      </c>
    </row>
    <row r="39" spans="1:4">
      <c r="A39" t="s">
        <v>91</v>
      </c>
      <c r="B39" t="s">
        <v>34</v>
      </c>
      <c r="C39" s="6">
        <v>19000</v>
      </c>
      <c r="D39" t="s">
        <v>92</v>
      </c>
    </row>
    <row r="40" spans="1:4">
      <c r="A40" t="s">
        <v>93</v>
      </c>
      <c r="B40" t="s">
        <v>30</v>
      </c>
      <c r="C40" s="6">
        <v>20</v>
      </c>
      <c r="D40" t="s">
        <v>94</v>
      </c>
    </row>
    <row r="41" spans="1:4">
      <c r="A41" t="s">
        <v>95</v>
      </c>
      <c r="B41" t="s">
        <v>30</v>
      </c>
      <c r="C41" s="6">
        <v>20</v>
      </c>
      <c r="D41" t="s">
        <v>96</v>
      </c>
    </row>
    <row r="42" spans="1:4">
      <c r="A42" t="s">
        <v>97</v>
      </c>
      <c r="B42" t="s">
        <v>98</v>
      </c>
      <c r="C42" s="6">
        <v>0</v>
      </c>
      <c r="D42" t="s">
        <v>99</v>
      </c>
    </row>
    <row r="43" spans="1:4">
      <c r="A43" s="4" t="s">
        <v>100</v>
      </c>
      <c r="B43" s="4"/>
      <c r="C43" s="4"/>
      <c r="D43" s="4"/>
    </row>
    <row r="44" spans="1:4">
      <c r="A44" t="s">
        <v>101</v>
      </c>
      <c r="B44" t="s">
        <v>27</v>
      </c>
      <c r="C44" s="5">
        <v>1200000</v>
      </c>
      <c r="D44" t="s">
        <v>102</v>
      </c>
    </row>
    <row r="45" spans="1:4">
      <c r="A45" t="s">
        <v>103</v>
      </c>
      <c r="B45" t="s">
        <v>27</v>
      </c>
      <c r="C45" s="5">
        <v>50000</v>
      </c>
      <c r="D45" t="s">
        <v>104</v>
      </c>
    </row>
    <row r="46" spans="1:4">
      <c r="A46" t="s">
        <v>105</v>
      </c>
      <c r="B46" t="s">
        <v>27</v>
      </c>
      <c r="C46" s="5">
        <v>12000</v>
      </c>
      <c r="D46" t="s">
        <v>106</v>
      </c>
    </row>
    <row r="47" spans="1:4">
      <c r="A47" s="4" t="s">
        <v>107</v>
      </c>
      <c r="B47" s="4"/>
      <c r="C47" s="4"/>
      <c r="D47" s="4"/>
    </row>
    <row r="48" spans="1:4">
      <c r="A48" t="s">
        <v>15</v>
      </c>
      <c r="B48" t="s">
        <v>27</v>
      </c>
      <c r="C48" s="5">
        <v>1098000</v>
      </c>
      <c r="D48" t="s">
        <v>108</v>
      </c>
    </row>
    <row r="49" spans="1:4">
      <c r="A49" t="s">
        <v>109</v>
      </c>
      <c r="B49" t="s">
        <v>27</v>
      </c>
      <c r="C49" s="5">
        <v>150000</v>
      </c>
      <c r="D49" t="s">
        <v>110</v>
      </c>
    </row>
    <row r="50" spans="1:4">
      <c r="A50" t="s">
        <v>111</v>
      </c>
      <c r="B50" t="s">
        <v>27</v>
      </c>
      <c r="C50" s="5">
        <v>60000</v>
      </c>
      <c r="D50" t="s">
        <v>112</v>
      </c>
    </row>
    <row r="51" spans="1:4">
      <c r="A51" t="s">
        <v>113</v>
      </c>
      <c r="B51" t="s">
        <v>27</v>
      </c>
      <c r="C51" s="5">
        <v>30000</v>
      </c>
      <c r="D51" t="s">
        <v>114</v>
      </c>
    </row>
    <row r="52" spans="1:4">
      <c r="A52" t="s">
        <v>115</v>
      </c>
      <c r="B52" t="s">
        <v>27</v>
      </c>
      <c r="C52" s="5">
        <v>80000</v>
      </c>
      <c r="D52" t="s">
        <v>114</v>
      </c>
    </row>
    <row r="53" spans="1:4">
      <c r="A53" t="s">
        <v>116</v>
      </c>
      <c r="B53" t="s">
        <v>27</v>
      </c>
      <c r="C53" s="5">
        <v>100000</v>
      </c>
      <c r="D53" t="s">
        <v>117</v>
      </c>
    </row>
    <row r="54" spans="1:4">
      <c r="A54" t="s">
        <v>118</v>
      </c>
      <c r="B54" t="s">
        <v>27</v>
      </c>
      <c r="C54" s="5">
        <v>20000</v>
      </c>
      <c r="D54" t="s">
        <v>119</v>
      </c>
    </row>
    <row r="55" spans="1:4">
      <c r="A55" t="s">
        <v>120</v>
      </c>
      <c r="B55" t="s">
        <v>30</v>
      </c>
      <c r="C55" s="6">
        <v>7</v>
      </c>
      <c r="D55" t="s">
        <v>121</v>
      </c>
    </row>
    <row r="56" spans="1:4">
      <c r="A56" s="4" t="s">
        <v>122</v>
      </c>
      <c r="B56" s="4"/>
      <c r="C56" s="4"/>
      <c r="D56" s="4"/>
    </row>
    <row r="57" spans="1:4">
      <c r="A57" t="s">
        <v>123</v>
      </c>
      <c r="B57" t="s">
        <v>27</v>
      </c>
      <c r="C57" s="5">
        <v>145000</v>
      </c>
      <c r="D57" t="s">
        <v>114</v>
      </c>
    </row>
    <row r="58" spans="1:4">
      <c r="A58" t="s">
        <v>124</v>
      </c>
      <c r="B58" t="s">
        <v>27</v>
      </c>
      <c r="C58" s="5">
        <v>60000</v>
      </c>
      <c r="D58" t="s">
        <v>125</v>
      </c>
    </row>
    <row r="59" spans="1:4">
      <c r="A59" t="s">
        <v>126</v>
      </c>
      <c r="B59" t="s">
        <v>27</v>
      </c>
      <c r="C59" s="5">
        <v>15000</v>
      </c>
      <c r="D59" t="s">
        <v>127</v>
      </c>
    </row>
    <row r="60" spans="1:4">
      <c r="A60" t="s">
        <v>128</v>
      </c>
      <c r="B60" t="s">
        <v>27</v>
      </c>
      <c r="C60" s="5">
        <v>20000</v>
      </c>
      <c r="D60" t="s">
        <v>117</v>
      </c>
    </row>
    <row r="61" spans="1:4">
      <c r="A61" t="s">
        <v>129</v>
      </c>
      <c r="B61" t="s">
        <v>27</v>
      </c>
      <c r="C61" s="5">
        <v>35000</v>
      </c>
      <c r="D61" t="s">
        <v>117</v>
      </c>
    </row>
    <row r="62" spans="1:4">
      <c r="A62" t="s">
        <v>130</v>
      </c>
      <c r="B62" t="s">
        <v>27</v>
      </c>
      <c r="C62" s="5">
        <v>15000</v>
      </c>
      <c r="D62" t="s">
        <v>131</v>
      </c>
    </row>
    <row r="63" spans="1:4">
      <c r="A63" s="4" t="s">
        <v>132</v>
      </c>
      <c r="B63" s="4"/>
      <c r="C63" s="4"/>
      <c r="D63" s="4"/>
    </row>
    <row r="64" spans="1:4">
      <c r="A64" t="s">
        <v>133</v>
      </c>
      <c r="B64" t="s">
        <v>30</v>
      </c>
      <c r="C64" s="6">
        <v>9</v>
      </c>
      <c r="D64" t="s">
        <v>134</v>
      </c>
    </row>
    <row r="65" spans="1:4">
      <c r="A65" t="s">
        <v>135</v>
      </c>
      <c r="B65" t="s">
        <v>77</v>
      </c>
      <c r="C65" s="6">
        <v>20</v>
      </c>
      <c r="D65" t="s">
        <v>136</v>
      </c>
    </row>
    <row r="66" spans="1:4">
      <c r="A66" t="s">
        <v>137</v>
      </c>
      <c r="B66" t="s">
        <v>30</v>
      </c>
      <c r="C66" s="6">
        <v>15</v>
      </c>
      <c r="D66" t="s">
        <v>8</v>
      </c>
    </row>
    <row r="67" spans="1:4">
      <c r="A67" t="s">
        <v>138</v>
      </c>
      <c r="B67" t="s">
        <v>30</v>
      </c>
      <c r="C67" s="6">
        <v>4.7</v>
      </c>
      <c r="D67" t="s">
        <v>139</v>
      </c>
    </row>
    <row r="68" spans="1:4">
      <c r="A68" t="s">
        <v>140</v>
      </c>
      <c r="B68" t="s">
        <v>27</v>
      </c>
      <c r="C68" s="5">
        <v>15000</v>
      </c>
      <c r="D68" t="s">
        <v>141</v>
      </c>
    </row>
    <row r="69" spans="1:4">
      <c r="A69" s="4" t="s">
        <v>142</v>
      </c>
      <c r="B69" s="4"/>
      <c r="C69" s="4"/>
      <c r="D69" s="4"/>
    </row>
    <row r="70" spans="1:4">
      <c r="A70" t="s">
        <v>17</v>
      </c>
      <c r="B70" t="s">
        <v>77</v>
      </c>
      <c r="C70" s="6">
        <v>20</v>
      </c>
      <c r="D70" t="s">
        <v>143</v>
      </c>
    </row>
    <row r="71" spans="1:4">
      <c r="A71" t="s">
        <v>144</v>
      </c>
      <c r="B71" t="s">
        <v>30</v>
      </c>
      <c r="C71" s="6">
        <v>25</v>
      </c>
      <c r="D7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146</v>
      </c>
    </row>
    <row r="2" spans="1:4">
      <c r="A2" t="s">
        <v>147</v>
      </c>
    </row>
    <row r="4" spans="1:4">
      <c r="A4" s="3" t="s">
        <v>21</v>
      </c>
      <c r="B4" s="3" t="s">
        <v>148</v>
      </c>
      <c r="C4" s="3" t="s">
        <v>149</v>
      </c>
      <c r="D4" s="3" t="s">
        <v>150</v>
      </c>
    </row>
    <row r="5" spans="1:4">
      <c r="A5" s="4" t="s">
        <v>151</v>
      </c>
      <c r="B5" s="19"/>
      <c r="C5" s="19"/>
      <c r="D5" s="4"/>
    </row>
    <row r="6" spans="1:4">
      <c r="A6" t="s">
        <v>152</v>
      </c>
      <c r="B6" s="10">
        <f>'Hypothèses'!$C$44</f>
        <v>1200000</v>
      </c>
      <c r="C6" s="10">
        <f>B6</f>
        <v>1200000</v>
      </c>
      <c r="D6" t="s">
        <v>153</v>
      </c>
    </row>
    <row r="7" spans="1:4">
      <c r="A7" t="s">
        <v>154</v>
      </c>
      <c r="B7" s="10">
        <f>'Hypothèses'!$C$45</f>
        <v>50000</v>
      </c>
      <c r="C7" s="10">
        <f>IF('Hypothèses'!$C$42&gt;=0.5,B7,B7/(1+('Hypothèses'!$C$41/100)))</f>
        <v>41666.66666666667152</v>
      </c>
    </row>
    <row r="8" spans="1:4">
      <c r="A8" t="s">
        <v>105</v>
      </c>
      <c r="B8" s="10">
        <f>'Hypothèses'!$C$46</f>
        <v>12000</v>
      </c>
      <c r="C8" s="10">
        <f>B8</f>
        <v>12000</v>
      </c>
      <c r="D8" t="s">
        <v>153</v>
      </c>
    </row>
    <row r="9" spans="1:4">
      <c r="A9" s="4" t="s">
        <v>155</v>
      </c>
      <c r="B9" s="19"/>
      <c r="C9" s="19"/>
      <c r="D9" s="4"/>
    </row>
    <row r="10" spans="1:4">
      <c r="A10" t="s">
        <v>15</v>
      </c>
      <c r="B10" s="10">
        <f>'Hypothèses'!$C$48</f>
        <v>1098000</v>
      </c>
      <c r="C10" s="10">
        <f>IF('Hypothèses'!$C$42&gt;=0.5,B10,B10/(1+('Hypothèses'!$C$41/100)))</f>
        <v>915000</v>
      </c>
    </row>
    <row r="11" spans="1:4">
      <c r="A11" t="s">
        <v>109</v>
      </c>
      <c r="B11" s="10">
        <f>'Hypothèses'!$C$49</f>
        <v>150000</v>
      </c>
      <c r="C11" s="10">
        <f>IF('Hypothèses'!$C$42&gt;=0.5,B11,B11/(1+('Hypothèses'!$C$41/100)))</f>
        <v>125000</v>
      </c>
    </row>
    <row r="12" spans="1:4">
      <c r="A12" t="s">
        <v>111</v>
      </c>
      <c r="B12" s="10">
        <f>'Hypothèses'!$C$50</f>
        <v>60000</v>
      </c>
      <c r="C12" s="10">
        <f>IF('Hypothèses'!$C$42&gt;=0.5,B12,B12/(1+('Hypothèses'!$C$41/100)))</f>
        <v>50000</v>
      </c>
    </row>
    <row r="13" spans="1:4">
      <c r="A13" t="s">
        <v>113</v>
      </c>
      <c r="B13" s="10">
        <f>'Hypothèses'!$C$51</f>
        <v>30000</v>
      </c>
      <c r="C13" s="10">
        <f>IF('Hypothèses'!$C$42&gt;=0.5,B13,B13/(1+('Hypothèses'!$C$41/100)))</f>
        <v>25000</v>
      </c>
    </row>
    <row r="14" spans="1:4">
      <c r="A14" t="s">
        <v>115</v>
      </c>
      <c r="B14" s="10">
        <f>'Hypothèses'!$C$52</f>
        <v>80000</v>
      </c>
      <c r="C14" s="10">
        <f>IF('Hypothèses'!$C$42&gt;=0.5,B14,B14/(1+('Hypothèses'!$C$41/100)))</f>
        <v>66666.66666666667152</v>
      </c>
    </row>
    <row r="15" spans="1:4">
      <c r="A15" t="s">
        <v>116</v>
      </c>
      <c r="B15" s="10">
        <f>'Hypothèses'!$C$53</f>
        <v>100000</v>
      </c>
      <c r="C15" s="10">
        <f>IF('Hypothèses'!$C$42&gt;=0.5,B15,B15/(1+('Hypothèses'!$C$41/100)))</f>
        <v>83333.33333333334303</v>
      </c>
    </row>
    <row r="16" spans="1:4">
      <c r="A16" t="s">
        <v>156</v>
      </c>
      <c r="B16" s="10">
        <f>'Hypothèses'!$C$54</f>
        <v>20000</v>
      </c>
      <c r="C16" s="10">
        <f>IF('Hypothèses'!$C$42&gt;=0.5,B16,B16/(1+('Hypothèses'!$C$41/100)))</f>
        <v>16666.66666666666788</v>
      </c>
    </row>
    <row r="17" spans="1:4">
      <c r="A17" t="s">
        <v>157</v>
      </c>
      <c r="B17" s="10">
        <f>('Hypothèses'!$C$48+'Hypothèses'!$C$49)*'Hypothèses'!$C$55/100</f>
        <v>87360</v>
      </c>
      <c r="C17" s="10">
        <f>IF('Hypothèses'!$C$42&gt;=0.5,B17,B17/(1+('Hypothèses'!$C$41/100)))</f>
        <v>72800</v>
      </c>
      <c r="D17" t="s">
        <v>158</v>
      </c>
    </row>
    <row r="18" spans="1:4">
      <c r="A18" s="4" t="s">
        <v>159</v>
      </c>
      <c r="B18" s="19"/>
      <c r="C18" s="19"/>
      <c r="D18" s="4"/>
    </row>
    <row r="19" spans="1:4">
      <c r="A19" t="s">
        <v>123</v>
      </c>
      <c r="B19" s="10">
        <f>'Hypothèses'!$C$57</f>
        <v>145000</v>
      </c>
      <c r="C19" s="10">
        <f>IF('Hypothèses'!$C$42&gt;=0.5,B19,B19/(1+('Hypothèses'!$C$41/100)))</f>
        <v>120833.33333333334303</v>
      </c>
    </row>
    <row r="20" spans="1:4">
      <c r="A20" t="s">
        <v>124</v>
      </c>
      <c r="B20" s="10">
        <f>'Hypothèses'!$C$58</f>
        <v>60000</v>
      </c>
      <c r="C20" s="10">
        <f>IF('Hypothèses'!$C$42&gt;=0.5,B20,B20/(1+('Hypothèses'!$C$41/100)))</f>
        <v>50000</v>
      </c>
    </row>
    <row r="21" spans="1:4">
      <c r="A21" t="s">
        <v>160</v>
      </c>
      <c r="B21" s="10">
        <f>'Hypothèses'!$C$59</f>
        <v>15000</v>
      </c>
      <c r="C21" s="10">
        <f>IF('Hypothèses'!$C$42&gt;=0.5,B21,B21/(1+('Hypothèses'!$C$41/100)))</f>
        <v>12500</v>
      </c>
    </row>
    <row r="22" spans="1:4">
      <c r="A22" t="s">
        <v>128</v>
      </c>
      <c r="B22" s="10">
        <f>'Hypothèses'!$C$60</f>
        <v>20000</v>
      </c>
      <c r="C22" s="10">
        <f>B22</f>
        <v>20000</v>
      </c>
      <c r="D22" t="s">
        <v>153</v>
      </c>
    </row>
    <row r="23" spans="1:4">
      <c r="A23" t="s">
        <v>129</v>
      </c>
      <c r="B23" s="10">
        <f>'Hypothèses'!$C$61</f>
        <v>35000</v>
      </c>
      <c r="C23" s="10">
        <f>IF('Hypothèses'!$C$42&gt;=0.5,B23,B23/(1+('Hypothèses'!$C$41/100)))</f>
        <v>29166.66666666666788</v>
      </c>
    </row>
    <row r="24" spans="1:4">
      <c r="A24" t="s">
        <v>161</v>
      </c>
      <c r="B24" s="10">
        <f>'Hypothèses'!$C$62</f>
        <v>15000</v>
      </c>
      <c r="C24" s="10">
        <f>IF('Hypothèses'!$C$42&gt;=0.5,B24,B24/(1+('Hypothèses'!$C$41/100)))</f>
        <v>12500</v>
      </c>
    </row>
    <row r="25" spans="1:4">
      <c r="A25" s="15" t="s">
        <v>162</v>
      </c>
      <c r="B25" s="20">
        <f>SUM(B5:B24)</f>
        <v>3177360</v>
      </c>
      <c r="C25" s="20">
        <f>SUM(C5:C24)</f>
        <v>2853133.33333333348855</v>
      </c>
      <c r="D25" s="16"/>
    </row>
    <row r="26" spans="1:4">
      <c r="B26" s="10"/>
      <c r="C26" s="10"/>
    </row>
    <row r="27" spans="1:4">
      <c r="A27" s="4" t="s">
        <v>163</v>
      </c>
      <c r="B27" s="19"/>
      <c r="C27" s="19"/>
      <c r="D27" s="4"/>
    </row>
    <row r="28" spans="1:4">
      <c r="A28" t="s">
        <v>164</v>
      </c>
      <c r="B28" s="10">
        <f>B25</f>
        <v>3177360</v>
      </c>
      <c r="C28" s="10"/>
    </row>
    <row r="29" spans="1:4">
      <c r="A29" t="s">
        <v>8</v>
      </c>
      <c r="B29" s="10">
        <f>B28*'Hypothèses'!$C$66/100</f>
        <v>476604</v>
      </c>
      <c r="C29" s="10"/>
    </row>
    <row r="30" spans="1:4">
      <c r="A30" t="s">
        <v>165</v>
      </c>
      <c r="B30" s="10">
        <f>B28-B29</f>
        <v>2700756</v>
      </c>
      <c r="C30" s="10"/>
    </row>
    <row r="31" spans="1:4">
      <c r="A31" t="s">
        <v>166</v>
      </c>
      <c r="B31" s="10">
        <f>B30*'Hypothèses'!$C$64/100*'Hypothèses'!$C$65/12</f>
        <v>405113.39999999996508</v>
      </c>
      <c r="C31" s="10"/>
    </row>
    <row r="32" spans="1:4">
      <c r="A32" t="s">
        <v>167</v>
      </c>
      <c r="B32" s="10">
        <f>B28*'Hypothèses'!$C$67/100</f>
        <v>149335.92000000001281</v>
      </c>
      <c r="C32" s="10"/>
    </row>
    <row r="33" spans="1:4">
      <c r="A33" t="s">
        <v>140</v>
      </c>
      <c r="B33" s="10">
        <f>'Hypothèses'!$C$68</f>
        <v>15000</v>
      </c>
      <c r="C33" s="10"/>
    </row>
    <row r="34" spans="1:4">
      <c r="A34" s="1" t="s">
        <v>4</v>
      </c>
      <c r="B34" s="12">
        <f>B31+B32+B33</f>
        <v>569449.31999999994878</v>
      </c>
      <c r="C34" s="10"/>
    </row>
    <row r="35" spans="1:4">
      <c r="B35" s="10"/>
      <c r="C35" s="10"/>
    </row>
    <row r="36" spans="1:4">
      <c r="A36" s="4" t="s">
        <v>168</v>
      </c>
      <c r="B36" s="19"/>
      <c r="C36" s="19"/>
      <c r="D36" s="4"/>
    </row>
    <row r="37" spans="1:4">
      <c r="A37" t="s">
        <v>2</v>
      </c>
      <c r="B37" s="10">
        <f>B40*'Hypothèses'!$C$38</f>
        <v>5801840</v>
      </c>
      <c r="C37" s="10"/>
      <c r="D37" t="s">
        <v>169</v>
      </c>
    </row>
    <row r="38" spans="1:4">
      <c r="A38" t="s">
        <v>170</v>
      </c>
      <c r="B38" s="10">
        <f>IF('Hypothèses'!$C$42&gt;=0.5,B37-(B37-B6)*('Hypothèses'!$C$40/100)/(1+('Hypothèses'!$C$40/100)),B37/(1+('Hypothèses'!$C$40/100)))</f>
        <v>4834866.66666666697711</v>
      </c>
      <c r="C38" s="10"/>
      <c r="D38" t="s">
        <v>171</v>
      </c>
    </row>
    <row r="39" spans="1:4">
      <c r="A39" t="s">
        <v>172</v>
      </c>
      <c r="B39" s="8">
        <f>B38/B40</f>
        <v>12723.33333333333394</v>
      </c>
      <c r="C39" s="10"/>
    </row>
    <row r="40" spans="1:4">
      <c r="A40" t="s">
        <v>173</v>
      </c>
      <c r="B40" s="22">
        <f>'Hypothèses'!$C$35*'Hypothèses'!$C$36/100</f>
        <v>380</v>
      </c>
      <c r="C40" s="10"/>
      <c r="D40" t="s">
        <v>174</v>
      </c>
    </row>
    <row r="41" spans="1:4">
      <c r="A41" s="4" t="s">
        <v>175</v>
      </c>
      <c r="B41" s="19"/>
      <c r="C41" s="19"/>
      <c r="D41" s="4"/>
    </row>
    <row r="42" spans="1:4">
      <c r="A42" t="s">
        <v>176</v>
      </c>
      <c r="B42" s="10">
        <f>B38-C25</f>
        <v>1981733.33333333348855</v>
      </c>
      <c r="C42" s="10"/>
    </row>
    <row r="43" spans="1:4">
      <c r="A43" t="s">
        <v>177</v>
      </c>
      <c r="B43" s="10">
        <f>B42-B34</f>
        <v>1412284.013333333656192</v>
      </c>
      <c r="C43" s="10"/>
    </row>
    <row r="44" spans="1:4">
      <c r="A44" t="s">
        <v>178</v>
      </c>
      <c r="B44" s="10">
        <f>MAX(0,B43*('Hypothèses'!$C$71/100))</f>
        <v>353071.003333333414048</v>
      </c>
      <c r="C44" s="10"/>
    </row>
    <row r="45" spans="1:4">
      <c r="A45" s="18" t="s">
        <v>5</v>
      </c>
      <c r="B45" s="21">
        <f>B43-B44</f>
        <v>1059213.010000000242144</v>
      </c>
    </row>
    <row r="46" spans="1:4">
      <c r="A46" t="s">
        <v>179</v>
      </c>
      <c r="B46" s="13">
        <f>B45/B38</f>
        <v>0.21907801869752</v>
      </c>
      <c r="D46" t="s">
        <v>180</v>
      </c>
    </row>
    <row r="47" spans="1:4">
      <c r="A47" t="s">
        <v>181</v>
      </c>
      <c r="B47" s="13">
        <f>B45/C25</f>
        <v>0.37124553473374</v>
      </c>
    </row>
    <row r="48" spans="1:4">
      <c r="A48" t="s">
        <v>9</v>
      </c>
      <c r="B48" s="13">
        <f>B45/B29</f>
        <v>2.22241737375263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182</v>
      </c>
    </row>
    <row r="2" spans="1:40">
      <c r="A2" t="s">
        <v>183</v>
      </c>
    </row>
    <row r="4" spans="1:40">
      <c r="A4" s="3" t="s">
        <v>21</v>
      </c>
      <c r="B4" s="3" t="s">
        <v>184</v>
      </c>
      <c r="C4" s="3" t="s">
        <v>185</v>
      </c>
      <c r="D4" s="3" t="s">
        <v>186</v>
      </c>
      <c r="E4" s="3" t="s">
        <v>187</v>
      </c>
      <c r="F4" s="3" t="s">
        <v>188</v>
      </c>
      <c r="G4" s="3" t="s">
        <v>189</v>
      </c>
      <c r="H4" s="3" t="s">
        <v>190</v>
      </c>
      <c r="I4" s="3" t="s">
        <v>191</v>
      </c>
      <c r="J4" s="3" t="s">
        <v>192</v>
      </c>
      <c r="K4" s="3" t="s">
        <v>193</v>
      </c>
      <c r="L4" s="3" t="s">
        <v>194</v>
      </c>
      <c r="M4" s="3" t="s">
        <v>195</v>
      </c>
      <c r="N4" s="3" t="s">
        <v>196</v>
      </c>
      <c r="O4" s="3" t="s">
        <v>197</v>
      </c>
      <c r="P4" s="3" t="s">
        <v>198</v>
      </c>
      <c r="Q4" s="3" t="s">
        <v>199</v>
      </c>
      <c r="R4" s="3" t="s">
        <v>200</v>
      </c>
      <c r="S4" s="3" t="s">
        <v>201</v>
      </c>
      <c r="T4" s="3" t="s">
        <v>202</v>
      </c>
      <c r="U4" s="3" t="s">
        <v>203</v>
      </c>
      <c r="V4" s="3" t="s">
        <v>204</v>
      </c>
      <c r="W4" s="3" t="s">
        <v>205</v>
      </c>
      <c r="X4" s="3" t="s">
        <v>206</v>
      </c>
      <c r="Y4" s="3" t="s">
        <v>207</v>
      </c>
      <c r="Z4" s="3" t="s">
        <v>208</v>
      </c>
      <c r="AA4" s="3" t="s">
        <v>209</v>
      </c>
      <c r="AB4" s="3" t="s">
        <v>210</v>
      </c>
      <c r="AC4" s="3" t="s">
        <v>211</v>
      </c>
      <c r="AD4" s="3" t="s">
        <v>212</v>
      </c>
      <c r="AE4" s="3" t="s">
        <v>213</v>
      </c>
      <c r="AF4" s="3" t="s">
        <v>214</v>
      </c>
      <c r="AG4" s="3" t="s">
        <v>215</v>
      </c>
      <c r="AH4" s="3" t="s">
        <v>216</v>
      </c>
      <c r="AI4" s="3" t="s">
        <v>217</v>
      </c>
      <c r="AJ4" s="3" t="s">
        <v>218</v>
      </c>
      <c r="AK4" s="3" t="s">
        <v>219</v>
      </c>
      <c r="AL4" s="3" t="s">
        <v>220</v>
      </c>
      <c r="AM4" s="3" t="s">
        <v>221</v>
      </c>
      <c r="AN4" s="3" t="s">
        <v>222</v>
      </c>
    </row>
    <row r="5" spans="1:40">
      <c r="A5" s="4" t="s">
        <v>223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476604</v>
      </c>
      <c r="E6" s="23">
        <f>IF(AND(1&gt;=$B6,1&lt;=$C6),$D6/($C6-$B6+1),0)</f>
        <v>476604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224</v>
      </c>
      <c r="B7" s="26">
        <v>1</v>
      </c>
      <c r="C7" s="26">
        <v>1</v>
      </c>
      <c r="D7" s="23">
        <f>Bilan!B30</f>
        <v>2700756</v>
      </c>
      <c r="E7" s="23">
        <f>IF(AND(1&gt;=$B7,1&lt;=$C7),$D7/($C7-$B7+1),0)</f>
        <v>2700756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225</v>
      </c>
      <c r="B8" s="27"/>
      <c r="C8" s="27"/>
      <c r="D8" s="23">
        <f>Bilan!B37</f>
        <v>5801840</v>
      </c>
      <c r="E8" s="23">
        <f>IF(1='Hypothèses'!$C$70,$D8,0)</f>
        <v>0</v>
      </c>
      <c r="F8" s="23">
        <f>IF(2='Hypothèses'!$C$70,$D8,0)</f>
        <v>0</v>
      </c>
      <c r="G8" s="23">
        <f>IF(3='Hypothèses'!$C$70,$D8,0)</f>
        <v>0</v>
      </c>
      <c r="H8" s="23">
        <f>IF(4='Hypothèses'!$C$70,$D8,0)</f>
        <v>0</v>
      </c>
      <c r="I8" s="23">
        <f>IF(5='Hypothèses'!$C$70,$D8,0)</f>
        <v>0</v>
      </c>
      <c r="J8" s="23">
        <f>IF(6='Hypothèses'!$C$70,$D8,0)</f>
        <v>0</v>
      </c>
      <c r="K8" s="23">
        <f>IF(7='Hypothèses'!$C$70,$D8,0)</f>
        <v>0</v>
      </c>
      <c r="L8" s="23">
        <f>IF(8='Hypothèses'!$C$70,$D8,0)</f>
        <v>0</v>
      </c>
      <c r="M8" s="23">
        <f>IF(9='Hypothèses'!$C$70,$D8,0)</f>
        <v>0</v>
      </c>
      <c r="N8" s="23">
        <f>IF(10='Hypothèses'!$C$70,$D8,0)</f>
        <v>0</v>
      </c>
      <c r="O8" s="23">
        <f>IF(11='Hypothèses'!$C$70,$D8,0)</f>
        <v>0</v>
      </c>
      <c r="P8" s="23">
        <f>IF(12='Hypothèses'!$C$70,$D8,0)</f>
        <v>0</v>
      </c>
      <c r="Q8" s="23">
        <f>IF(13='Hypothèses'!$C$70,$D8,0)</f>
        <v>0</v>
      </c>
      <c r="R8" s="23">
        <f>IF(14='Hypothèses'!$C$70,$D8,0)</f>
        <v>0</v>
      </c>
      <c r="S8" s="23">
        <f>IF(15='Hypothèses'!$C$70,$D8,0)</f>
        <v>0</v>
      </c>
      <c r="T8" s="23">
        <f>IF(16='Hypothèses'!$C$70,$D8,0)</f>
        <v>0</v>
      </c>
      <c r="U8" s="23">
        <f>IF(17='Hypothèses'!$C$70,$D8,0)</f>
        <v>0</v>
      </c>
      <c r="V8" s="23">
        <f>IF(18='Hypothèses'!$C$70,$D8,0)</f>
        <v>0</v>
      </c>
      <c r="W8" s="23">
        <f>IF(19='Hypothèses'!$C$70,$D8,0)</f>
        <v>0</v>
      </c>
      <c r="X8" s="23">
        <f>IF(20='Hypothèses'!$C$70,$D8,0)</f>
        <v>5801840</v>
      </c>
      <c r="Y8" s="23">
        <f>IF(21='Hypothèses'!$C$70,$D8,0)</f>
        <v>0</v>
      </c>
      <c r="Z8" s="23">
        <f>IF(22='Hypothèses'!$C$70,$D8,0)</f>
        <v>0</v>
      </c>
      <c r="AA8" s="23">
        <f>IF(23='Hypothèses'!$C$70,$D8,0)</f>
        <v>0</v>
      </c>
      <c r="AB8" s="23">
        <f>IF(24='Hypothèses'!$C$70,$D8,0)</f>
        <v>0</v>
      </c>
      <c r="AC8" s="23">
        <f>IF(25='Hypothèses'!$C$70,$D8,0)</f>
        <v>0</v>
      </c>
      <c r="AD8" s="23">
        <f>IF(26='Hypothèses'!$C$70,$D8,0)</f>
        <v>0</v>
      </c>
      <c r="AE8" s="23">
        <f>IF(27='Hypothèses'!$C$70,$D8,0)</f>
        <v>0</v>
      </c>
      <c r="AF8" s="23">
        <f>IF(28='Hypothèses'!$C$70,$D8,0)</f>
        <v>0</v>
      </c>
      <c r="AG8" s="23">
        <f>IF(29='Hypothèses'!$C$70,$D8,0)</f>
        <v>0</v>
      </c>
      <c r="AH8" s="23">
        <f>IF(30='Hypothèses'!$C$70,$D8,0)</f>
        <v>0</v>
      </c>
      <c r="AI8" s="23">
        <f>IF(31='Hypothèses'!$C$70,$D8,0)</f>
        <v>0</v>
      </c>
      <c r="AJ8" s="23">
        <f>IF(32='Hypothèses'!$C$70,$D8,0)</f>
        <v>0</v>
      </c>
      <c r="AK8" s="23">
        <f>IF(33='Hypothèses'!$C$70,$D8,0)</f>
        <v>0</v>
      </c>
      <c r="AL8" s="23">
        <f>IF(34='Hypothèses'!$C$70,$D8,0)</f>
        <v>0</v>
      </c>
      <c r="AM8" s="23">
        <f>IF(35='Hypothèses'!$C$70,$D8,0)</f>
        <v>0</v>
      </c>
      <c r="AN8" s="23">
        <f>IF(36='Hypothèses'!$C$70,$D8,0)</f>
        <v>0</v>
      </c>
    </row>
    <row r="9" spans="1:40">
      <c r="A9" t="s">
        <v>226</v>
      </c>
      <c r="B9" s="27"/>
      <c r="C9" s="27"/>
      <c r="D9" s="23"/>
      <c r="E9" s="23">
        <v>0</v>
      </c>
      <c r="F9" s="23">
        <f>-(E13+E15+E16+E17+E18+E19+E20+E21+E22+E23+E25+E26+E27+E28)*('Hypothèses'!$C$41/100)/(1+('Hypothèses'!$C$41/100))*IF('Hypothèses'!$C$42&gt;=0.5,0,1)</f>
        <v>12875</v>
      </c>
      <c r="G9" s="23">
        <f>-(F13+F15+F16+F17+F18+F19+F20+F21+F22+F23+F25+F26+F27+F28)*('Hypothèses'!$C$41/100)/(1+('Hypothèses'!$C$41/100))*IF('Hypothèses'!$C$42&gt;=0.5,0,1)</f>
        <v>35375</v>
      </c>
      <c r="H9" s="23">
        <f>-(G13+G15+G16+G17+G18+G19+G20+G21+G22+G23+G25+G26+G27+G28)*('Hypothèses'!$C$41/100)/(1+('Hypothèses'!$C$41/100))*IF('Hypothèses'!$C$42&gt;=0.5,0,1)</f>
        <v>14389.16666666666788</v>
      </c>
      <c r="I9" s="23">
        <f>-(H13+H15+H16+H17+H18+H19+H20+H21+H22+H23+H25+H26+H27+H28)*('Hypothèses'!$C$41/100)/(1+('Hypothèses'!$C$41/100))*IF('Hypothèses'!$C$42&gt;=0.5,0,1)</f>
        <v>15500.27777777778101</v>
      </c>
      <c r="J9" s="23">
        <f>-(I13+I15+I16+I17+I18+I19+I20+I21+I22+I23+I25+I26+I27+I28)*('Hypothèses'!$C$41/100)/(1+('Hypothèses'!$C$41/100))*IF('Hypothèses'!$C$42&gt;=0.5,0,1)</f>
        <v>15500.27777777778101</v>
      </c>
      <c r="K9" s="23">
        <f>-(J13+J15+J16+J17+J18+J19+J20+J21+J22+J23+J25+J26+J27+J28)*('Hypothèses'!$C$41/100)/(1+('Hypothèses'!$C$41/100))*IF('Hypothèses'!$C$42&gt;=0.5,0,1)</f>
        <v>15500.27777777778101</v>
      </c>
      <c r="L9" s="23">
        <f>-(K13+K15+K16+K17+K18+K19+K20+K21+K22+K23+K25+K26+K27+K28)*('Hypothèses'!$C$41/100)/(1+('Hypothèses'!$C$41/100))*IF('Hypothèses'!$C$42&gt;=0.5,0,1)</f>
        <v>14389.16666666666788</v>
      </c>
      <c r="M9" s="23">
        <f>-(L13+L15+L16+L17+L18+L19+L20+L21+L22+L23+L25+L26+L27+L28)*('Hypothèses'!$C$41/100)/(1+('Hypothèses'!$C$41/100))*IF('Hypothèses'!$C$42&gt;=0.5,0,1)</f>
        <v>14389.16666666666788</v>
      </c>
      <c r="N9" s="23">
        <f>-(M13+M15+M16+M17+M18+M19+M20+M21+M22+M23+M25+M26+M27+M28)*('Hypothèses'!$C$41/100)/(1+('Hypothèses'!$C$41/100))*IF('Hypothèses'!$C$42&gt;=0.5,0,1)</f>
        <v>14389.16666666666788</v>
      </c>
      <c r="O9" s="23">
        <f>-(N13+N15+N16+N17+N18+N19+N20+N21+N22+N23+N25+N26+N27+N28)*('Hypothèses'!$C$41/100)/(1+('Hypothèses'!$C$41/100))*IF('Hypothèses'!$C$42&gt;=0.5,0,1)</f>
        <v>14389.16666666666788</v>
      </c>
      <c r="P9" s="23">
        <f>-(O13+O15+O16+O17+O18+O19+O20+O21+O22+O23+O25+O26+O27+O28)*('Hypothèses'!$C$41/100)/(1+('Hypothèses'!$C$41/100))*IF('Hypothèses'!$C$42&gt;=0.5,0,1)</f>
        <v>14389.16666666666788</v>
      </c>
      <c r="Q9" s="23">
        <f>-(P13+P15+P16+P17+P18+P19+P20+P21+P22+P23+P25+P26+P27+P28)*('Hypothèses'!$C$41/100)/(1+('Hypothèses'!$C$41/100))*IF('Hypothèses'!$C$42&gt;=0.5,0,1)</f>
        <v>14389.16666666666788</v>
      </c>
      <c r="R9" s="23">
        <f>-(Q13+Q15+Q16+Q17+Q18+Q19+Q20+Q21+Q22+Q23+Q25+Q26+Q27+Q28)*('Hypothèses'!$C$41/100)/(1+('Hypothèses'!$C$41/100))*IF('Hypothèses'!$C$42&gt;=0.5,0,1)</f>
        <v>13555.83333333333394</v>
      </c>
      <c r="S9" s="23">
        <f>-(R13+R15+R16+R17+R18+R19+R20+R21+R22+R23+R25+R26+R27+R28)*('Hypothèses'!$C$41/100)/(1+('Hypothèses'!$C$41/100))*IF('Hypothèses'!$C$42&gt;=0.5,0,1)</f>
        <v>13555.83333333333394</v>
      </c>
      <c r="T9" s="23">
        <f>-(S13+S15+S16+S17+S18+S19+S20+S21+S22+S23+S25+S26+S27+S28)*('Hypothèses'!$C$41/100)/(1+('Hypothèses'!$C$41/100))*IF('Hypothèses'!$C$42&gt;=0.5,0,1)</f>
        <v>16889.16666666666788</v>
      </c>
      <c r="U9" s="23">
        <f>-(T13+T15+T16+T17+T18+T19+T20+T21+T22+T23+T25+T26+T27+T28)*('Hypothèses'!$C$41/100)/(1+('Hypothèses'!$C$41/100))*IF('Hypothèses'!$C$42&gt;=0.5,0,1)</f>
        <v>21333.61111111111313</v>
      </c>
      <c r="V9" s="23">
        <f>-(U13+U15+U16+U17+U18+U19+U20+U21+U22+U23+U25+U26+U27+U28)*('Hypothèses'!$C$41/100)/(1+('Hypothèses'!$C$41/100))*IF('Hypothèses'!$C$42&gt;=0.5,0,1)</f>
        <v>23833.61111111111677</v>
      </c>
      <c r="W9" s="23">
        <f>-(V13+V15+V16+V17+V18+V19+V20+V21+V22+V23+V25+V26+V27+V28)*('Hypothèses'!$C$41/100)/(1+('Hypothèses'!$C$41/100))*IF('Hypothèses'!$C$42&gt;=0.5,0,1)</f>
        <v>28833.61111111111313</v>
      </c>
      <c r="X9" s="23">
        <f>-(W13+W15+W16+W17+W18+W19+W20+W21+W22+W23+W25+W26+W27+W28)*('Hypothèses'!$C$41/100)/(1+('Hypothèses'!$C$41/100))*IF('Hypothèses'!$C$42&gt;=0.5,0,1)</f>
        <v>9541.66666666666788</v>
      </c>
      <c r="Y9" s="23">
        <f>-(X13+X15+X16+X17+X18+X19+X20+X21+X22+X23+X25+X26+X27+X28)*('Hypothèses'!$C$41/100)/(1+('Hypothèses'!$C$41/100))*IF('Hypothèses'!$C$42&gt;=0.5,0,1)</f>
        <v>1208.33333333333348</v>
      </c>
      <c r="Z9" s="23">
        <f>-(Y13+Y15+Y16+Y17+Y18+Y19+Y20+Y21+Y22+Y23+Y25+Y26+Y27+Y28)*('Hypothèses'!$C$41/100)/(1+('Hypothèses'!$C$41/100))*IF('Hypothèses'!$C$42&gt;=0.5,0,1)</f>
        <v>0</v>
      </c>
      <c r="AA9" s="23">
        <f>-(Z13+Z15+Z16+Z17+Z18+Z19+Z20+Z21+Z22+Z23+Z25+Z26+Z27+Z28)*('Hypothèses'!$C$41/100)/(1+('Hypothèses'!$C$41/100))*IF('Hypothèses'!$C$42&gt;=0.5,0,1)</f>
        <v>0</v>
      </c>
      <c r="AB9" s="23">
        <f>-(AA13+AA15+AA16+AA17+AA18+AA19+AA20+AA21+AA22+AA23+AA25+AA26+AA27+AA28)*('Hypothèses'!$C$41/100)/(1+('Hypothèses'!$C$41/100))*IF('Hypothèses'!$C$42&gt;=0.5,0,1)</f>
        <v>0</v>
      </c>
      <c r="AC9" s="23">
        <f>-(AB13+AB15+AB16+AB17+AB18+AB19+AB20+AB21+AB22+AB23+AB25+AB26+AB27+AB28)*('Hypothèses'!$C$41/100)/(1+('Hypothèses'!$C$41/100))*IF('Hypothèses'!$C$42&gt;=0.5,0,1)</f>
        <v>0</v>
      </c>
      <c r="AD9" s="23">
        <f>-(AC13+AC15+AC16+AC17+AC18+AC19+AC20+AC21+AC22+AC23+AC25+AC26+AC27+AC28)*('Hypothèses'!$C$41/100)/(1+('Hypothèses'!$C$41/100))*IF('Hypothèses'!$C$42&gt;=0.5,0,1)</f>
        <v>0</v>
      </c>
      <c r="AE9" s="23">
        <f>-(AD13+AD15+AD16+AD17+AD18+AD19+AD20+AD21+AD22+AD23+AD25+AD26+AD27+AD28)*('Hypothèses'!$C$41/100)/(1+('Hypothèses'!$C$41/100))*IF('Hypothèses'!$C$42&gt;=0.5,0,1)</f>
        <v>0</v>
      </c>
      <c r="AF9" s="23">
        <f>-(AE13+AE15+AE16+AE17+AE18+AE19+AE20+AE21+AE22+AE23+AE25+AE26+AE27+AE28)*('Hypothèses'!$C$41/100)/(1+('Hypothèses'!$C$41/100))*IF('Hypothèses'!$C$42&gt;=0.5,0,1)</f>
        <v>0</v>
      </c>
      <c r="AG9" s="23">
        <f>-(AF13+AF15+AF16+AF17+AF18+AF19+AF20+AF21+AF22+AF23+AF25+AF26+AF27+AF28)*('Hypothèses'!$C$41/100)/(1+('Hypothèses'!$C$41/100))*IF('Hypothèses'!$C$42&gt;=0.5,0,1)</f>
        <v>0</v>
      </c>
      <c r="AH9" s="23">
        <f>-(AG13+AG15+AG16+AG17+AG18+AG19+AG20+AG21+AG22+AG23+AG25+AG26+AG27+AG28)*('Hypothèses'!$C$41/100)/(1+('Hypothèses'!$C$41/100))*IF('Hypothèses'!$C$42&gt;=0.5,0,1)</f>
        <v>0</v>
      </c>
      <c r="AI9" s="23">
        <f>-(AH13+AH15+AH16+AH17+AH18+AH19+AH20+AH21+AH22+AH23+AH25+AH26+AH27+AH28)*('Hypothèses'!$C$41/100)/(1+('Hypothèses'!$C$41/100))*IF('Hypothèses'!$C$42&gt;=0.5,0,1)</f>
        <v>0</v>
      </c>
      <c r="AJ9" s="23">
        <f>-(AI13+AI15+AI16+AI17+AI18+AI19+AI20+AI21+AI22+AI23+AI25+AI26+AI27+AI28)*('Hypothèses'!$C$41/100)/(1+('Hypothèses'!$C$41/100))*IF('Hypothèses'!$C$42&gt;=0.5,0,1)</f>
        <v>0</v>
      </c>
      <c r="AK9" s="23">
        <f>-(AJ13+AJ15+AJ16+AJ17+AJ18+AJ19+AJ20+AJ21+AJ22+AJ23+AJ25+AJ26+AJ27+AJ28)*('Hypothèses'!$C$41/100)/(1+('Hypothèses'!$C$41/100))*IF('Hypothèses'!$C$42&gt;=0.5,0,1)</f>
        <v>0</v>
      </c>
      <c r="AL9" s="23">
        <f>-(AK13+AK15+AK16+AK17+AK18+AK19+AK20+AK21+AK22+AK23+AK25+AK26+AK27+AK28)*('Hypothèses'!$C$41/100)/(1+('Hypothèses'!$C$41/100))*IF('Hypothèses'!$C$42&gt;=0.5,0,1)</f>
        <v>0</v>
      </c>
      <c r="AM9" s="23">
        <f>-(AL13+AL15+AL16+AL17+AL18+AL19+AL20+AL21+AL22+AL23+AL25+AL26+AL27+AL28)*('Hypothèses'!$C$41/100)/(1+('Hypothèses'!$C$41/100))*IF('Hypothèses'!$C$42&gt;=0.5,0,1)</f>
        <v>0</v>
      </c>
      <c r="AN9" s="23">
        <f>-(AM13+AM15+AM16+AM17+AM18+AM19+AM20+AM21+AM22+AM23+AM25+AM26+AM27+AM28)*('Hypothèses'!$C$41/100)/(1+('Hypothèses'!$C$41/100))*IF('Hypothèses'!$C$42&gt;=0.5,0,1)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227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152</v>
      </c>
      <c r="B12" s="26">
        <v>1</v>
      </c>
      <c r="C12" s="26">
        <v>1</v>
      </c>
      <c r="D12" s="23">
        <f>Bilan!B6</f>
        <v>1200000</v>
      </c>
      <c r="E12" s="23">
        <f>IF(AND(1&gt;=$B12,1&lt;=$C12),-$D12/($C12-$B12+1),0)</f>
        <v>-1200000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154</v>
      </c>
      <c r="B13" s="26">
        <v>1</v>
      </c>
      <c r="C13" s="26">
        <v>1</v>
      </c>
      <c r="D13" s="23">
        <f>Bilan!B7</f>
        <v>50000</v>
      </c>
      <c r="E13" s="23">
        <f>IF(AND(1&gt;=$B13,1&lt;=$C13),-$D13/($C13-$B13+1),0)</f>
        <v>-50000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105</v>
      </c>
      <c r="B14" s="26">
        <v>1</v>
      </c>
      <c r="C14" s="26">
        <v>1</v>
      </c>
      <c r="D14" s="23">
        <f>Bilan!B8</f>
        <v>12000</v>
      </c>
      <c r="E14" s="23">
        <f>IF(AND(1&gt;=$B14,1&lt;=$C14),-$D14/($C14-$B14+1),0)</f>
        <v>-12000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160</v>
      </c>
      <c r="B15" s="26">
        <v>1</v>
      </c>
      <c r="C15" s="26">
        <v>1</v>
      </c>
      <c r="D15" s="23">
        <f>Bilan!B21</f>
        <v>15000</v>
      </c>
      <c r="E15" s="23">
        <f>IF(AND(1&gt;=$B15,1&lt;=$C15),-$D15/($C15-$B15+1),0)</f>
        <v>-15000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123</v>
      </c>
      <c r="B16" s="26">
        <v>1</v>
      </c>
      <c r="C16" s="26">
        <v>20</v>
      </c>
      <c r="D16" s="23">
        <f>Bilan!B19</f>
        <v>145000</v>
      </c>
      <c r="E16" s="23">
        <f>IF(AND(1&gt;=$B16,1&lt;=$C16),-$D16/($C16-$B16+1),0)</f>
        <v>-7250</v>
      </c>
      <c r="F16" s="23">
        <f>IF(AND(2&gt;=$B16,2&lt;=$C16),-$D16/($C16-$B16+1),0)</f>
        <v>-7250</v>
      </c>
      <c r="G16" s="23">
        <f>IF(AND(3&gt;=$B16,3&lt;=$C16),-$D16/($C16-$B16+1),0)</f>
        <v>-7250</v>
      </c>
      <c r="H16" s="23">
        <f>IF(AND(4&gt;=$B16,4&lt;=$C16),-$D16/($C16-$B16+1),0)</f>
        <v>-7250</v>
      </c>
      <c r="I16" s="23">
        <f>IF(AND(5&gt;=$B16,5&lt;=$C16),-$D16/($C16-$B16+1),0)</f>
        <v>-7250</v>
      </c>
      <c r="J16" s="23">
        <f>IF(AND(6&gt;=$B16,6&lt;=$C16),-$D16/($C16-$B16+1),0)</f>
        <v>-7250</v>
      </c>
      <c r="K16" s="23">
        <f>IF(AND(7&gt;=$B16,7&lt;=$C16),-$D16/($C16-$B16+1),0)</f>
        <v>-7250</v>
      </c>
      <c r="L16" s="23">
        <f>IF(AND(8&gt;=$B16,8&lt;=$C16),-$D16/($C16-$B16+1),0)</f>
        <v>-7250</v>
      </c>
      <c r="M16" s="23">
        <f>IF(AND(9&gt;=$B16,9&lt;=$C16),-$D16/($C16-$B16+1),0)</f>
        <v>-7250</v>
      </c>
      <c r="N16" s="23">
        <f>IF(AND(10&gt;=$B16,10&lt;=$C16),-$D16/($C16-$B16+1),0)</f>
        <v>-7250</v>
      </c>
      <c r="O16" s="23">
        <f>IF(AND(11&gt;=$B16,11&lt;=$C16),-$D16/($C16-$B16+1),0)</f>
        <v>-7250</v>
      </c>
      <c r="P16" s="23">
        <f>IF(AND(12&gt;=$B16,12&lt;=$C16),-$D16/($C16-$B16+1),0)</f>
        <v>-7250</v>
      </c>
      <c r="Q16" s="23">
        <f>IF(AND(13&gt;=$B16,13&lt;=$C16),-$D16/($C16-$B16+1),0)</f>
        <v>-7250</v>
      </c>
      <c r="R16" s="23">
        <f>IF(AND(14&gt;=$B16,14&lt;=$C16),-$D16/($C16-$B16+1),0)</f>
        <v>-7250</v>
      </c>
      <c r="S16" s="23">
        <f>IF(AND(15&gt;=$B16,15&lt;=$C16),-$D16/($C16-$B16+1),0)</f>
        <v>-7250</v>
      </c>
      <c r="T16" s="23">
        <f>IF(AND(16&gt;=$B16,16&lt;=$C16),-$D16/($C16-$B16+1),0)</f>
        <v>-7250</v>
      </c>
      <c r="U16" s="23">
        <f>IF(AND(17&gt;=$B16,17&lt;=$C16),-$D16/($C16-$B16+1),0)</f>
        <v>-7250</v>
      </c>
      <c r="V16" s="23">
        <f>IF(AND(18&gt;=$B16,18&lt;=$C16),-$D16/($C16-$B16+1),0)</f>
        <v>-7250</v>
      </c>
      <c r="W16" s="23">
        <f>IF(AND(19&gt;=$B16,19&lt;=$C16),-$D16/($C16-$B16+1),0)</f>
        <v>-7250</v>
      </c>
      <c r="X16" s="23">
        <f>IF(AND(20&gt;=$B16,20&lt;=$C16),-$D16/($C16-$B16+1),0)</f>
        <v>-7250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124</v>
      </c>
      <c r="B17" s="26">
        <v>1</v>
      </c>
      <c r="C17" s="26">
        <v>12</v>
      </c>
      <c r="D17" s="23">
        <f>Bilan!B20</f>
        <v>60000</v>
      </c>
      <c r="E17" s="23">
        <f>IF(AND(1&gt;=$B17,1&lt;=$C17),-$D17/($C17-$B17+1),0)</f>
        <v>-5000</v>
      </c>
      <c r="F17" s="23">
        <f>IF(AND(2&gt;=$B17,2&lt;=$C17),-$D17/($C17-$B17+1),0)</f>
        <v>-5000</v>
      </c>
      <c r="G17" s="23">
        <f>IF(AND(3&gt;=$B17,3&lt;=$C17),-$D17/($C17-$B17+1),0)</f>
        <v>-5000</v>
      </c>
      <c r="H17" s="23">
        <f>IF(AND(4&gt;=$B17,4&lt;=$C17),-$D17/($C17-$B17+1),0)</f>
        <v>-5000</v>
      </c>
      <c r="I17" s="23">
        <f>IF(AND(5&gt;=$B17,5&lt;=$C17),-$D17/($C17-$B17+1),0)</f>
        <v>-5000</v>
      </c>
      <c r="J17" s="23">
        <f>IF(AND(6&gt;=$B17,6&lt;=$C17),-$D17/($C17-$B17+1),0)</f>
        <v>-5000</v>
      </c>
      <c r="K17" s="23">
        <f>IF(AND(7&gt;=$B17,7&lt;=$C17),-$D17/($C17-$B17+1),0)</f>
        <v>-5000</v>
      </c>
      <c r="L17" s="23">
        <f>IF(AND(8&gt;=$B17,8&lt;=$C17),-$D17/($C17-$B17+1),0)</f>
        <v>-5000</v>
      </c>
      <c r="M17" s="23">
        <f>IF(AND(9&gt;=$B17,9&lt;=$C17),-$D17/($C17-$B17+1),0)</f>
        <v>-5000</v>
      </c>
      <c r="N17" s="23">
        <f>IF(AND(10&gt;=$B17,10&lt;=$C17),-$D17/($C17-$B17+1),0)</f>
        <v>-5000</v>
      </c>
      <c r="O17" s="23">
        <f>IF(AND(11&gt;=$B17,11&lt;=$C17),-$D17/($C17-$B17+1),0)</f>
        <v>-5000</v>
      </c>
      <c r="P17" s="23">
        <f>IF(AND(12&gt;=$B17,12&lt;=$C17),-$D17/($C17-$B17+1),0)</f>
        <v>-5000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109</v>
      </c>
      <c r="B18" s="26">
        <v>2</v>
      </c>
      <c r="C18" s="26">
        <v>2</v>
      </c>
      <c r="D18" s="23">
        <f>Bilan!B11</f>
        <v>150000</v>
      </c>
      <c r="E18" s="23">
        <f>IF(AND(1&gt;=$B18,1&lt;=$C18),-$D18/($C18-$B18+1),0)</f>
        <v>0</v>
      </c>
      <c r="F18" s="23">
        <f>IF(AND(2&gt;=$B18,2&lt;=$C18),-$D18/($C18-$B18+1),0)</f>
        <v>-150000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129</v>
      </c>
      <c r="B19" s="26">
        <v>2</v>
      </c>
      <c r="C19" s="26">
        <v>2</v>
      </c>
      <c r="D19" s="23">
        <f>Bilan!B23</f>
        <v>35000</v>
      </c>
      <c r="E19" s="23">
        <f>IF(AND(1&gt;=$B19,1&lt;=$C19),-$D19/($C19-$B19+1),0)</f>
        <v>0</v>
      </c>
      <c r="F19" s="23">
        <f>IF(AND(2&gt;=$B19,2&lt;=$C19),-$D19/($C19-$B19+1),0)</f>
        <v>-35000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161</v>
      </c>
      <c r="B20" s="26">
        <v>2</v>
      </c>
      <c r="C20" s="26">
        <v>2</v>
      </c>
      <c r="D20" s="23">
        <f>Bilan!B24</f>
        <v>15000</v>
      </c>
      <c r="E20" s="23">
        <f>IF(AND(1&gt;=$B20,1&lt;=$C20),-$D20/($C20-$B20+1),0)</f>
        <v>0</v>
      </c>
      <c r="F20" s="23">
        <f>IF(AND(2&gt;=$B20,2&lt;=$C20),-$D20/($C20-$B20+1),0)</f>
        <v>-15000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1098000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-68625</v>
      </c>
      <c r="H21" s="23">
        <f>IF(AND(4&gt;=$B21,4&lt;=$C21),-$D21/($C21-$B21+1),0)</f>
        <v>-68625</v>
      </c>
      <c r="I21" s="23">
        <f>IF(AND(5&gt;=$B21,5&lt;=$C21),-$D21/($C21-$B21+1),0)</f>
        <v>-68625</v>
      </c>
      <c r="J21" s="23">
        <f>IF(AND(6&gt;=$B21,6&lt;=$C21),-$D21/($C21-$B21+1),0)</f>
        <v>-68625</v>
      </c>
      <c r="K21" s="23">
        <f>IF(AND(7&gt;=$B21,7&lt;=$C21),-$D21/($C21-$B21+1),0)</f>
        <v>-68625</v>
      </c>
      <c r="L21" s="23">
        <f>IF(AND(8&gt;=$B21,8&lt;=$C21),-$D21/($C21-$B21+1),0)</f>
        <v>-68625</v>
      </c>
      <c r="M21" s="23">
        <f>IF(AND(9&gt;=$B21,9&lt;=$C21),-$D21/($C21-$B21+1),0)</f>
        <v>-68625</v>
      </c>
      <c r="N21" s="23">
        <f>IF(AND(10&gt;=$B21,10&lt;=$C21),-$D21/($C21-$B21+1),0)</f>
        <v>-68625</v>
      </c>
      <c r="O21" s="23">
        <f>IF(AND(11&gt;=$B21,11&lt;=$C21),-$D21/($C21-$B21+1),0)</f>
        <v>-68625</v>
      </c>
      <c r="P21" s="23">
        <f>IF(AND(12&gt;=$B21,12&lt;=$C21),-$D21/($C21-$B21+1),0)</f>
        <v>-68625</v>
      </c>
      <c r="Q21" s="23">
        <f>IF(AND(13&gt;=$B21,13&lt;=$C21),-$D21/($C21-$B21+1),0)</f>
        <v>-68625</v>
      </c>
      <c r="R21" s="23">
        <f>IF(AND(14&gt;=$B21,14&lt;=$C21),-$D21/($C21-$B21+1),0)</f>
        <v>-68625</v>
      </c>
      <c r="S21" s="23">
        <f>IF(AND(15&gt;=$B21,15&lt;=$C21),-$D21/($C21-$B21+1),0)</f>
        <v>-68625</v>
      </c>
      <c r="T21" s="23">
        <f>IF(AND(16&gt;=$B21,16&lt;=$C21),-$D21/($C21-$B21+1),0)</f>
        <v>-68625</v>
      </c>
      <c r="U21" s="23">
        <f>IF(AND(17&gt;=$B21,17&lt;=$C21),-$D21/($C21-$B21+1),0)</f>
        <v>-68625</v>
      </c>
      <c r="V21" s="23">
        <f>IF(AND(18&gt;=$B21,18&lt;=$C21),-$D21/($C21-$B21+1),0)</f>
        <v>-68625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157</v>
      </c>
      <c r="B22" s="26">
        <v>3</v>
      </c>
      <c r="C22" s="26">
        <v>18</v>
      </c>
      <c r="D22" s="23">
        <f>Bilan!B17</f>
        <v>87360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-5460</v>
      </c>
      <c r="H22" s="23">
        <f>IF(AND(4&gt;=$B22,4&lt;=$C22),-$D22/($C22-$B22+1),0)</f>
        <v>-5460</v>
      </c>
      <c r="I22" s="23">
        <f>IF(AND(5&gt;=$B22,5&lt;=$C22),-$D22/($C22-$B22+1),0)</f>
        <v>-5460</v>
      </c>
      <c r="J22" s="23">
        <f>IF(AND(6&gt;=$B22,6&lt;=$C22),-$D22/($C22-$B22+1),0)</f>
        <v>-5460</v>
      </c>
      <c r="K22" s="23">
        <f>IF(AND(7&gt;=$B22,7&lt;=$C22),-$D22/($C22-$B22+1),0)</f>
        <v>-5460</v>
      </c>
      <c r="L22" s="23">
        <f>IF(AND(8&gt;=$B22,8&lt;=$C22),-$D22/($C22-$B22+1),0)</f>
        <v>-5460</v>
      </c>
      <c r="M22" s="23">
        <f>IF(AND(9&gt;=$B22,9&lt;=$C22),-$D22/($C22-$B22+1),0)</f>
        <v>-5460</v>
      </c>
      <c r="N22" s="23">
        <f>IF(AND(10&gt;=$B22,10&lt;=$C22),-$D22/($C22-$B22+1),0)</f>
        <v>-5460</v>
      </c>
      <c r="O22" s="23">
        <f>IF(AND(11&gt;=$B22,11&lt;=$C22),-$D22/($C22-$B22+1),0)</f>
        <v>-5460</v>
      </c>
      <c r="P22" s="23">
        <f>IF(AND(12&gt;=$B22,12&lt;=$C22),-$D22/($C22-$B22+1),0)</f>
        <v>-5460</v>
      </c>
      <c r="Q22" s="23">
        <f>IF(AND(13&gt;=$B22,13&lt;=$C22),-$D22/($C22-$B22+1),0)</f>
        <v>-5460</v>
      </c>
      <c r="R22" s="23">
        <f>IF(AND(14&gt;=$B22,14&lt;=$C22),-$D22/($C22-$B22+1),0)</f>
        <v>-5460</v>
      </c>
      <c r="S22" s="23">
        <f>IF(AND(15&gt;=$B22,15&lt;=$C22),-$D22/($C22-$B22+1),0)</f>
        <v>-5460</v>
      </c>
      <c r="T22" s="23">
        <f>IF(AND(16&gt;=$B22,16&lt;=$C22),-$D22/($C22-$B22+1),0)</f>
        <v>-5460</v>
      </c>
      <c r="U22" s="23">
        <f>IF(AND(17&gt;=$B22,17&lt;=$C22),-$D22/($C22-$B22+1),0)</f>
        <v>-5460</v>
      </c>
      <c r="V22" s="23">
        <f>IF(AND(18&gt;=$B22,18&lt;=$C22),-$D22/($C22-$B22+1),0)</f>
        <v>-5460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156</v>
      </c>
      <c r="B23" s="26">
        <v>4</v>
      </c>
      <c r="C23" s="26">
        <v>6</v>
      </c>
      <c r="D23" s="23">
        <f>Bilan!B16</f>
        <v>20000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-6666.66666666666697</v>
      </c>
      <c r="I23" s="23">
        <f>IF(AND(5&gt;=$B23,5&lt;=$C23),-$D23/($C23-$B23+1),0)</f>
        <v>-6666.66666666666697</v>
      </c>
      <c r="J23" s="23">
        <f>IF(AND(6&gt;=$B23,6&lt;=$C23),-$D23/($C23-$B23+1),0)</f>
        <v>-6666.66666666666697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128</v>
      </c>
      <c r="B24" s="26">
        <v>4</v>
      </c>
      <c r="C24" s="26">
        <v>4</v>
      </c>
      <c r="D24" s="23">
        <f>Bilan!B22</f>
        <v>20000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-20000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111</v>
      </c>
      <c r="B25" s="26">
        <v>15</v>
      </c>
      <c r="C25" s="26">
        <v>17</v>
      </c>
      <c r="D25" s="23">
        <f>Bilan!B12</f>
        <v>60000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-20000</v>
      </c>
      <c r="T25" s="23">
        <f>IF(AND(16&gt;=$B25,16&lt;=$C25),-$D25/($C25-$B25+1),0)</f>
        <v>-20000</v>
      </c>
      <c r="U25" s="23">
        <f>IF(AND(17&gt;=$B25,17&lt;=$C25),-$D25/($C25-$B25+1),0)</f>
        <v>-20000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115</v>
      </c>
      <c r="B26" s="26">
        <v>16</v>
      </c>
      <c r="C26" s="26">
        <v>18</v>
      </c>
      <c r="D26" s="23">
        <f>Bilan!B14</f>
        <v>80000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-26666.66666666666788</v>
      </c>
      <c r="U26" s="23">
        <f>IF(AND(17&gt;=$B26,17&lt;=$C26),-$D26/($C26-$B26+1),0)</f>
        <v>-26666.66666666666788</v>
      </c>
      <c r="V26" s="23">
        <f>IF(AND(18&gt;=$B26,18&lt;=$C26),-$D26/($C26-$B26+1),0)</f>
        <v>-26666.66666666666788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113</v>
      </c>
      <c r="B27" s="26">
        <v>17</v>
      </c>
      <c r="C27" s="26">
        <v>18</v>
      </c>
      <c r="D27" s="23">
        <f>Bilan!B13</f>
        <v>30000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-15000</v>
      </c>
      <c r="V27" s="23">
        <f>IF(AND(18&gt;=$B27,18&lt;=$C27),-$D27/($C27-$B27+1),0)</f>
        <v>-15000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116</v>
      </c>
      <c r="B28" s="26">
        <v>18</v>
      </c>
      <c r="C28" s="26">
        <v>19</v>
      </c>
      <c r="D28" s="23">
        <f>Bilan!B15</f>
        <v>100000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-50000</v>
      </c>
      <c r="W28" s="23">
        <f>IF(AND(19&gt;=$B28,19&lt;=$C28),-$D28/($C28-$B28+1),0)</f>
        <v>-50000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228</v>
      </c>
      <c r="B29" s="26">
        <v>1</v>
      </c>
      <c r="C29" s="26">
        <v>1</v>
      </c>
      <c r="D29" s="23">
        <f>Bilan!B32+Bilan!B33</f>
        <v>164335.92000000001281</v>
      </c>
      <c r="E29" s="23">
        <f>IF(AND(1&gt;=$B29,1&lt;=$C29),-$D29/($C29-$B29+1),0)</f>
        <v>-164335.92000000001281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229</v>
      </c>
      <c r="D30" s="23">
        <f>Bilan!B30+Bilan!B31</f>
        <v>3105869.39999999990687</v>
      </c>
      <c r="E30" s="23">
        <f>IF(1='Hypothèses'!$C$70,-$D30,0)</f>
        <v>0</v>
      </c>
      <c r="F30" s="23">
        <f>IF(2='Hypothèses'!$C$70,-$D30,0)</f>
        <v>0</v>
      </c>
      <c r="G30" s="23">
        <f>IF(3='Hypothèses'!$C$70,-$D30,0)</f>
        <v>0</v>
      </c>
      <c r="H30" s="23">
        <f>IF(4='Hypothèses'!$C$70,-$D30,0)</f>
        <v>0</v>
      </c>
      <c r="I30" s="23">
        <f>IF(5='Hypothèses'!$C$70,-$D30,0)</f>
        <v>0</v>
      </c>
      <c r="J30" s="23">
        <f>IF(6='Hypothèses'!$C$70,-$D30,0)</f>
        <v>0</v>
      </c>
      <c r="K30" s="23">
        <f>IF(7='Hypothèses'!$C$70,-$D30,0)</f>
        <v>0</v>
      </c>
      <c r="L30" s="23">
        <f>IF(8='Hypothèses'!$C$70,-$D30,0)</f>
        <v>0</v>
      </c>
      <c r="M30" s="23">
        <f>IF(9='Hypothèses'!$C$70,-$D30,0)</f>
        <v>0</v>
      </c>
      <c r="N30" s="23">
        <f>IF(10='Hypothèses'!$C$70,-$D30,0)</f>
        <v>0</v>
      </c>
      <c r="O30" s="23">
        <f>IF(11='Hypothèses'!$C$70,-$D30,0)</f>
        <v>0</v>
      </c>
      <c r="P30" s="23">
        <f>IF(12='Hypothèses'!$C$70,-$D30,0)</f>
        <v>0</v>
      </c>
      <c r="Q30" s="23">
        <f>IF(13='Hypothèses'!$C$70,-$D30,0)</f>
        <v>0</v>
      </c>
      <c r="R30" s="23">
        <f>IF(14='Hypothèses'!$C$70,-$D30,0)</f>
        <v>0</v>
      </c>
      <c r="S30" s="23">
        <f>IF(15='Hypothèses'!$C$70,-$D30,0)</f>
        <v>0</v>
      </c>
      <c r="T30" s="23">
        <f>IF(16='Hypothèses'!$C$70,-$D30,0)</f>
        <v>0</v>
      </c>
      <c r="U30" s="23">
        <f>IF(17='Hypothèses'!$C$70,-$D30,0)</f>
        <v>0</v>
      </c>
      <c r="V30" s="23">
        <f>IF(18='Hypothèses'!$C$70,-$D30,0)</f>
        <v>0</v>
      </c>
      <c r="W30" s="23">
        <f>IF(19='Hypothèses'!$C$70,-$D30,0)</f>
        <v>0</v>
      </c>
      <c r="X30" s="23">
        <f>IF(20='Hypothèses'!$C$70,-$D30,0)</f>
        <v>-3105869.39999999990687</v>
      </c>
      <c r="Y30" s="23">
        <f>IF(21='Hypothèses'!$C$70,-$D30,0)</f>
        <v>0</v>
      </c>
      <c r="Z30" s="23">
        <f>IF(22='Hypothèses'!$C$70,-$D30,0)</f>
        <v>0</v>
      </c>
      <c r="AA30" s="23">
        <f>IF(23='Hypothèses'!$C$70,-$D30,0)</f>
        <v>0</v>
      </c>
      <c r="AB30" s="23">
        <f>IF(24='Hypothèses'!$C$70,-$D30,0)</f>
        <v>0</v>
      </c>
      <c r="AC30" s="23">
        <f>IF(25='Hypothèses'!$C$70,-$D30,0)</f>
        <v>0</v>
      </c>
      <c r="AD30" s="23">
        <f>IF(26='Hypothèses'!$C$70,-$D30,0)</f>
        <v>0</v>
      </c>
      <c r="AE30" s="23">
        <f>IF(27='Hypothèses'!$C$70,-$D30,0)</f>
        <v>0</v>
      </c>
      <c r="AF30" s="23">
        <f>IF(28='Hypothèses'!$C$70,-$D30,0)</f>
        <v>0</v>
      </c>
      <c r="AG30" s="23">
        <f>IF(29='Hypothèses'!$C$70,-$D30,0)</f>
        <v>0</v>
      </c>
      <c r="AH30" s="23">
        <f>IF(30='Hypothèses'!$C$70,-$D30,0)</f>
        <v>0</v>
      </c>
      <c r="AI30" s="23">
        <f>IF(31='Hypothèses'!$C$70,-$D30,0)</f>
        <v>0</v>
      </c>
      <c r="AJ30" s="23">
        <f>IF(32='Hypothèses'!$C$70,-$D30,0)</f>
        <v>0</v>
      </c>
      <c r="AK30" s="23">
        <f>IF(33='Hypothèses'!$C$70,-$D30,0)</f>
        <v>0</v>
      </c>
      <c r="AL30" s="23">
        <f>IF(34='Hypothèses'!$C$70,-$D30,0)</f>
        <v>0</v>
      </c>
      <c r="AM30" s="23">
        <f>IF(35='Hypothèses'!$C$70,-$D30,0)</f>
        <v>0</v>
      </c>
      <c r="AN30" s="23">
        <f>IF(36='Hypothèses'!$C$70,-$D30,0)</f>
        <v>0</v>
      </c>
    </row>
    <row r="31" spans="1:40">
      <c r="A31" t="s">
        <v>230</v>
      </c>
      <c r="D31" s="23">
        <f>Bilan!B37-Bilan!B38</f>
        <v>966973.33333333302289</v>
      </c>
      <c r="E31" s="23">
        <f>IF(1='Hypothèses'!$C$70+1,-$D31,0)</f>
        <v>0</v>
      </c>
      <c r="F31" s="23">
        <f>IF(2='Hypothèses'!$C$70+1,-$D31,0)</f>
        <v>0</v>
      </c>
      <c r="G31" s="23">
        <f>IF(3='Hypothèses'!$C$70+1,-$D31,0)</f>
        <v>0</v>
      </c>
      <c r="H31" s="23">
        <f>IF(4='Hypothèses'!$C$70+1,-$D31,0)</f>
        <v>0</v>
      </c>
      <c r="I31" s="23">
        <f>IF(5='Hypothèses'!$C$70+1,-$D31,0)</f>
        <v>0</v>
      </c>
      <c r="J31" s="23">
        <f>IF(6='Hypothèses'!$C$70+1,-$D31,0)</f>
        <v>0</v>
      </c>
      <c r="K31" s="23">
        <f>IF(7='Hypothèses'!$C$70+1,-$D31,0)</f>
        <v>0</v>
      </c>
      <c r="L31" s="23">
        <f>IF(8='Hypothèses'!$C$70+1,-$D31,0)</f>
        <v>0</v>
      </c>
      <c r="M31" s="23">
        <f>IF(9='Hypothèses'!$C$70+1,-$D31,0)</f>
        <v>0</v>
      </c>
      <c r="N31" s="23">
        <f>IF(10='Hypothèses'!$C$70+1,-$D31,0)</f>
        <v>0</v>
      </c>
      <c r="O31" s="23">
        <f>IF(11='Hypothèses'!$C$70+1,-$D31,0)</f>
        <v>0</v>
      </c>
      <c r="P31" s="23">
        <f>IF(12='Hypothèses'!$C$70+1,-$D31,0)</f>
        <v>0</v>
      </c>
      <c r="Q31" s="23">
        <f>IF(13='Hypothèses'!$C$70+1,-$D31,0)</f>
        <v>0</v>
      </c>
      <c r="R31" s="23">
        <f>IF(14='Hypothèses'!$C$70+1,-$D31,0)</f>
        <v>0</v>
      </c>
      <c r="S31" s="23">
        <f>IF(15='Hypothèses'!$C$70+1,-$D31,0)</f>
        <v>0</v>
      </c>
      <c r="T31" s="23">
        <f>IF(16='Hypothèses'!$C$70+1,-$D31,0)</f>
        <v>0</v>
      </c>
      <c r="U31" s="23">
        <f>IF(17='Hypothèses'!$C$70+1,-$D31,0)</f>
        <v>0</v>
      </c>
      <c r="V31" s="23">
        <f>IF(18='Hypothèses'!$C$70+1,-$D31,0)</f>
        <v>0</v>
      </c>
      <c r="W31" s="23">
        <f>IF(19='Hypothèses'!$C$70+1,-$D31,0)</f>
        <v>0</v>
      </c>
      <c r="X31" s="23">
        <f>IF(20='Hypothèses'!$C$70+1,-$D31,0)</f>
        <v>0</v>
      </c>
      <c r="Y31" s="23">
        <f>IF(21='Hypothèses'!$C$70+1,-$D31,0)</f>
        <v>-966973.33333333302289</v>
      </c>
      <c r="Z31" s="23">
        <f>IF(22='Hypothèses'!$C$70+1,-$D31,0)</f>
        <v>0</v>
      </c>
      <c r="AA31" s="23">
        <f>IF(23='Hypothèses'!$C$70+1,-$D31,0)</f>
        <v>0</v>
      </c>
      <c r="AB31" s="23">
        <f>IF(24='Hypothèses'!$C$70+1,-$D31,0)</f>
        <v>0</v>
      </c>
      <c r="AC31" s="23">
        <f>IF(25='Hypothèses'!$C$70+1,-$D31,0)</f>
        <v>0</v>
      </c>
      <c r="AD31" s="23">
        <f>IF(26='Hypothèses'!$C$70+1,-$D31,0)</f>
        <v>0</v>
      </c>
      <c r="AE31" s="23">
        <f>IF(27='Hypothèses'!$C$70+1,-$D31,0)</f>
        <v>0</v>
      </c>
      <c r="AF31" s="23">
        <f>IF(28='Hypothèses'!$C$70+1,-$D31,0)</f>
        <v>0</v>
      </c>
      <c r="AG31" s="23">
        <f>IF(29='Hypothèses'!$C$70+1,-$D31,0)</f>
        <v>0</v>
      </c>
      <c r="AH31" s="23">
        <f>IF(30='Hypothèses'!$C$70+1,-$D31,0)</f>
        <v>0</v>
      </c>
      <c r="AI31" s="23">
        <f>IF(31='Hypothèses'!$C$70+1,-$D31,0)</f>
        <v>0</v>
      </c>
      <c r="AJ31" s="23">
        <f>IF(32='Hypothèses'!$C$70+1,-$D31,0)</f>
        <v>0</v>
      </c>
      <c r="AK31" s="23">
        <f>IF(33='Hypothèses'!$C$70+1,-$D31,0)</f>
        <v>0</v>
      </c>
      <c r="AL31" s="23">
        <f>IF(34='Hypothèses'!$C$70+1,-$D31,0)</f>
        <v>0</v>
      </c>
      <c r="AM31" s="23">
        <f>IF(35='Hypothèses'!$C$70+1,-$D31,0)</f>
        <v>0</v>
      </c>
      <c r="AN31" s="23">
        <f>IF(36='Hypothèses'!$C$70+1,-$D31,0)</f>
        <v>0</v>
      </c>
    </row>
    <row r="32" spans="1:40">
      <c r="A32" t="s">
        <v>231</v>
      </c>
      <c r="D32" s="23">
        <f>Bilan!B44</f>
        <v>353071.003333333414048</v>
      </c>
      <c r="E32" s="23">
        <f>IF(1='Hypothèses'!$C$70+2,-$D32,0)</f>
        <v>0</v>
      </c>
      <c r="F32" s="23">
        <f>IF(2='Hypothèses'!$C$70+2,-$D32,0)</f>
        <v>0</v>
      </c>
      <c r="G32" s="23">
        <f>IF(3='Hypothèses'!$C$70+2,-$D32,0)</f>
        <v>0</v>
      </c>
      <c r="H32" s="23">
        <f>IF(4='Hypothèses'!$C$70+2,-$D32,0)</f>
        <v>0</v>
      </c>
      <c r="I32" s="23">
        <f>IF(5='Hypothèses'!$C$70+2,-$D32,0)</f>
        <v>0</v>
      </c>
      <c r="J32" s="23">
        <f>IF(6='Hypothèses'!$C$70+2,-$D32,0)</f>
        <v>0</v>
      </c>
      <c r="K32" s="23">
        <f>IF(7='Hypothèses'!$C$70+2,-$D32,0)</f>
        <v>0</v>
      </c>
      <c r="L32" s="23">
        <f>IF(8='Hypothèses'!$C$70+2,-$D32,0)</f>
        <v>0</v>
      </c>
      <c r="M32" s="23">
        <f>IF(9='Hypothèses'!$C$70+2,-$D32,0)</f>
        <v>0</v>
      </c>
      <c r="N32" s="23">
        <f>IF(10='Hypothèses'!$C$70+2,-$D32,0)</f>
        <v>0</v>
      </c>
      <c r="O32" s="23">
        <f>IF(11='Hypothèses'!$C$70+2,-$D32,0)</f>
        <v>0</v>
      </c>
      <c r="P32" s="23">
        <f>IF(12='Hypothèses'!$C$70+2,-$D32,0)</f>
        <v>0</v>
      </c>
      <c r="Q32" s="23">
        <f>IF(13='Hypothèses'!$C$70+2,-$D32,0)</f>
        <v>0</v>
      </c>
      <c r="R32" s="23">
        <f>IF(14='Hypothèses'!$C$70+2,-$D32,0)</f>
        <v>0</v>
      </c>
      <c r="S32" s="23">
        <f>IF(15='Hypothèses'!$C$70+2,-$D32,0)</f>
        <v>0</v>
      </c>
      <c r="T32" s="23">
        <f>IF(16='Hypothèses'!$C$70+2,-$D32,0)</f>
        <v>0</v>
      </c>
      <c r="U32" s="23">
        <f>IF(17='Hypothèses'!$C$70+2,-$D32,0)</f>
        <v>0</v>
      </c>
      <c r="V32" s="23">
        <f>IF(18='Hypothèses'!$C$70+2,-$D32,0)</f>
        <v>0</v>
      </c>
      <c r="W32" s="23">
        <f>IF(19='Hypothèses'!$C$70+2,-$D32,0)</f>
        <v>0</v>
      </c>
      <c r="X32" s="23">
        <f>IF(20='Hypothèses'!$C$70+2,-$D32,0)</f>
        <v>0</v>
      </c>
      <c r="Y32" s="23">
        <f>IF(21='Hypothèses'!$C$70+2,-$D32,0)</f>
        <v>0</v>
      </c>
      <c r="Z32" s="23">
        <f>IF(22='Hypothèses'!$C$70+2,-$D32,0)</f>
        <v>-353071.003333333414048</v>
      </c>
      <c r="AA32" s="23">
        <f>IF(23='Hypothèses'!$C$70+2,-$D32,0)</f>
        <v>0</v>
      </c>
      <c r="AB32" s="23">
        <f>IF(24='Hypothèses'!$C$70+2,-$D32,0)</f>
        <v>0</v>
      </c>
      <c r="AC32" s="23">
        <f>IF(25='Hypothèses'!$C$70+2,-$D32,0)</f>
        <v>0</v>
      </c>
      <c r="AD32" s="23">
        <f>IF(26='Hypothèses'!$C$70+2,-$D32,0)</f>
        <v>0</v>
      </c>
      <c r="AE32" s="23">
        <f>IF(27='Hypothèses'!$C$70+2,-$D32,0)</f>
        <v>0</v>
      </c>
      <c r="AF32" s="23">
        <f>IF(28='Hypothèses'!$C$70+2,-$D32,0)</f>
        <v>0</v>
      </c>
      <c r="AG32" s="23">
        <f>IF(29='Hypothèses'!$C$70+2,-$D32,0)</f>
        <v>0</v>
      </c>
      <c r="AH32" s="23">
        <f>IF(30='Hypothèses'!$C$70+2,-$D32,0)</f>
        <v>0</v>
      </c>
      <c r="AI32" s="23">
        <f>IF(31='Hypothèses'!$C$70+2,-$D32,0)</f>
        <v>0</v>
      </c>
      <c r="AJ32" s="23">
        <f>IF(32='Hypothèses'!$C$70+2,-$D32,0)</f>
        <v>0</v>
      </c>
      <c r="AK32" s="23">
        <f>IF(33='Hypothèses'!$C$70+2,-$D32,0)</f>
        <v>0</v>
      </c>
      <c r="AL32" s="23">
        <f>IF(34='Hypothèses'!$C$70+2,-$D32,0)</f>
        <v>0</v>
      </c>
      <c r="AM32" s="23">
        <f>IF(35='Hypothèses'!$C$70+2,-$D32,0)</f>
        <v>0</v>
      </c>
      <c r="AN32" s="23">
        <f>IF(36='Hypothèses'!$C$70+2,-$D32,0)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232</v>
      </c>
      <c r="B34" s="1"/>
      <c r="C34" s="1"/>
      <c r="D34" s="25"/>
      <c r="E34" s="25">
        <f>SUM(E6:E9)+SUM(E12:E32)</f>
        <v>1723774.080000000074506</v>
      </c>
      <c r="F34" s="25">
        <f>SUM(F6:F9)+SUM(F12:F32)</f>
        <v>-199375</v>
      </c>
      <c r="G34" s="25">
        <f>SUM(G6:G9)+SUM(G12:G32)</f>
        <v>-50960</v>
      </c>
      <c r="H34" s="25">
        <f>SUM(H6:H9)+SUM(H12:H32)</f>
        <v>-98612.5</v>
      </c>
      <c r="I34" s="25">
        <f>SUM(I6:I9)+SUM(I12:I32)</f>
        <v>-77501.38888888889051</v>
      </c>
      <c r="J34" s="25">
        <f>SUM(J6:J9)+SUM(J12:J32)</f>
        <v>-77501.38888888889051</v>
      </c>
      <c r="K34" s="25">
        <f>SUM(K6:K9)+SUM(K12:K32)</f>
        <v>-70834.72222222221899</v>
      </c>
      <c r="L34" s="25">
        <f>SUM(L6:L9)+SUM(L12:L32)</f>
        <v>-71945.83333333332848</v>
      </c>
      <c r="M34" s="25">
        <f>SUM(M6:M9)+SUM(M12:M32)</f>
        <v>-71945.83333333332848</v>
      </c>
      <c r="N34" s="25">
        <f>SUM(N6:N9)+SUM(N12:N32)</f>
        <v>-71945.83333333332848</v>
      </c>
      <c r="O34" s="25">
        <f>SUM(O6:O9)+SUM(O12:O32)</f>
        <v>-71945.83333333332848</v>
      </c>
      <c r="P34" s="25">
        <f>SUM(P6:P9)+SUM(P12:P32)</f>
        <v>-71945.83333333332848</v>
      </c>
      <c r="Q34" s="25">
        <f>SUM(Q6:Q9)+SUM(Q12:Q32)</f>
        <v>-66945.83333333332848</v>
      </c>
      <c r="R34" s="25">
        <f>SUM(R6:R9)+SUM(R12:R32)</f>
        <v>-67779.16666666667152</v>
      </c>
      <c r="S34" s="25">
        <f>SUM(S6:S9)+SUM(S12:S32)</f>
        <v>-87779.16666666667152</v>
      </c>
      <c r="T34" s="25">
        <f>SUM(T6:T9)+SUM(T12:T32)</f>
        <v>-111112.5</v>
      </c>
      <c r="U34" s="25">
        <f>SUM(U6:U9)+SUM(U12:U32)</f>
        <v>-121668.055555555576575</v>
      </c>
      <c r="V34" s="25">
        <f>SUM(V6:V9)+SUM(V12:V32)</f>
        <v>-149168.055555555562023</v>
      </c>
      <c r="W34" s="25">
        <f>SUM(W6:W9)+SUM(W12:W32)</f>
        <v>-28416.38888888888687</v>
      </c>
      <c r="X34" s="25">
        <f>SUM(X6:X9)+SUM(X12:X32)</f>
        <v>2698262.26666666707024</v>
      </c>
      <c r="Y34" s="25">
        <f>SUM(Y6:Y9)+SUM(Y12:Y32)</f>
        <v>-965764.99999999965075</v>
      </c>
      <c r="Z34" s="25">
        <f>SUM(Z6:Z9)+SUM(Z12:Z32)</f>
        <v>-353071.003333333414048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233</v>
      </c>
      <c r="B35" s="1"/>
      <c r="C35" s="1"/>
      <c r="D35" s="25"/>
      <c r="E35" s="25">
        <f>E34</f>
        <v>1723774.080000000074506</v>
      </c>
      <c r="F35" s="25">
        <f>E35+F34</f>
        <v>1524399.080000000074506</v>
      </c>
      <c r="G35" s="25">
        <f>F35+G34</f>
        <v>1473439.080000000074506</v>
      </c>
      <c r="H35" s="25">
        <f>G35+H34</f>
        <v>1374826.58000000007451</v>
      </c>
      <c r="I35" s="25">
        <f>H35+I34</f>
        <v>1297325.19111111108214</v>
      </c>
      <c r="J35" s="25">
        <f>I35+J34</f>
        <v>1219823.80222222208977</v>
      </c>
      <c r="K35" s="25">
        <f>J35+K34</f>
        <v>1148989.079999999841675</v>
      </c>
      <c r="L35" s="25">
        <f>K35+L34</f>
        <v>1077043.24666666658595</v>
      </c>
      <c r="M35" s="25">
        <f>L35+M34</f>
        <v>1005097.41333333321381</v>
      </c>
      <c r="N35" s="25">
        <f>M35+N34</f>
        <v>933151.57999999984168</v>
      </c>
      <c r="O35" s="25">
        <f>N35+O34</f>
        <v>861205.74666666646954</v>
      </c>
      <c r="P35" s="25">
        <f>O35+P34</f>
        <v>789259.9133333330974</v>
      </c>
      <c r="Q35" s="25">
        <f>P35+Q34</f>
        <v>722314.07999999972526</v>
      </c>
      <c r="R35" s="25">
        <f>Q35+R34</f>
        <v>654534.9133333330974</v>
      </c>
      <c r="S35" s="25">
        <f>R35+S34</f>
        <v>566755.74666666646954</v>
      </c>
      <c r="T35" s="25">
        <f>S35+T34</f>
        <v>455643.24666666646954</v>
      </c>
      <c r="U35" s="25">
        <f>T35+U34</f>
        <v>333975.19111111090751</v>
      </c>
      <c r="V35" s="25">
        <f>U35+V34</f>
        <v>184807.13555555534549</v>
      </c>
      <c r="W35" s="25">
        <f>V35+W34</f>
        <v>156390.74666666646954</v>
      </c>
      <c r="X35" s="25">
        <f>W35+X34</f>
        <v>2854653.013333333656192</v>
      </c>
      <c r="Y35" s="25">
        <f>X35+Y34</f>
        <v>1888888.013333334121853</v>
      </c>
      <c r="Z35" s="25">
        <f>Y35+Z34</f>
        <v>1535817.010000000707805</v>
      </c>
      <c r="AA35" s="25">
        <f>Z35+AA34</f>
        <v>1535817.010000000707805</v>
      </c>
      <c r="AB35" s="25">
        <f>AA35+AB34</f>
        <v>1535817.010000000707805</v>
      </c>
      <c r="AC35" s="25">
        <f>AB35+AC34</f>
        <v>1535817.010000000707805</v>
      </c>
      <c r="AD35" s="25">
        <f>AC35+AD34</f>
        <v>1535817.010000000707805</v>
      </c>
      <c r="AE35" s="25">
        <f>AD35+AE34</f>
        <v>1535817.010000000707805</v>
      </c>
      <c r="AF35" s="25">
        <f>AE35+AF34</f>
        <v>1535817.010000000707805</v>
      </c>
      <c r="AG35" s="25">
        <f>AF35+AG34</f>
        <v>1535817.010000000707805</v>
      </c>
      <c r="AH35" s="25">
        <f>AG35+AH34</f>
        <v>1535817.010000000707805</v>
      </c>
      <c r="AI35" s="25">
        <f>AH35+AI34</f>
        <v>1535817.010000000707805</v>
      </c>
      <c r="AJ35" s="25">
        <f>AI35+AJ34</f>
        <v>1535817.010000000707805</v>
      </c>
      <c r="AK35" s="25">
        <f>AJ35+AK34</f>
        <v>1535817.010000000707805</v>
      </c>
      <c r="AL35" s="25">
        <f>AK35+AL34</f>
        <v>1535817.010000000707805</v>
      </c>
      <c r="AM35" s="25">
        <f>AL35+AM34</f>
        <v>1535817.010000000707805</v>
      </c>
      <c r="AN35" s="25">
        <f>AM35+AN34</f>
        <v>1535817.010000000707805</v>
      </c>
    </row>
    <row r="37" spans="1:40">
      <c r="A37" t="s">
        <v>234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235</v>
      </c>
    </row>
    <row r="2" spans="1:6">
      <c r="A2" t="s">
        <v>236</v>
      </c>
    </row>
    <row r="4" spans="1:6">
      <c r="A4" s="3" t="s">
        <v>241</v>
      </c>
      <c r="B4" s="30">
        <f>'Hypothèses'!$C$37</f>
        <v>13000</v>
      </c>
      <c r="C4" s="30">
        <f>ROUND((B4+D4)/2,0)</f>
        <v>14134</v>
      </c>
      <c r="D4" s="30">
        <f>'Hypothèses'!$C$38</f>
        <v>15268</v>
      </c>
      <c r="E4" s="30">
        <f>ROUND((D4+F4)/2,0)</f>
        <v>17134</v>
      </c>
      <c r="F4" s="30">
        <f>'Hypothèses'!$C$39</f>
        <v>19000</v>
      </c>
    </row>
    <row r="5" spans="1:6">
      <c r="A5" s="31">
        <v>-0.1</v>
      </c>
      <c r="B5" s="10">
        <f>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-MAX(0,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*('Hypothèses'!$C$71/100))</f>
        <v>609367.74025000014808</v>
      </c>
      <c r="C5" s="10">
        <f>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-MAX(0,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*('Hypothèses'!$C$71/100))</f>
        <v>878692.7402500002645</v>
      </c>
      <c r="D5" s="10">
        <f>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-MAX(0,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*('Hypothèses'!$C$71/100))</f>
        <v>1148017.7402500002645</v>
      </c>
      <c r="E5" s="10">
        <f>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-MAX(0,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*('Hypothèses'!$C$71/100))</f>
        <v>1591192.7402500002645</v>
      </c>
      <c r="F5" s="10">
        <f>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-MAX(0,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*('Hypothèses'!$C$71/100))</f>
        <v>2034367.7402500002645</v>
      </c>
    </row>
    <row r="6" spans="1:6">
      <c r="A6" s="31">
        <v>-0.05</v>
      </c>
      <c r="B6" s="10">
        <f>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-MAX(0,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*('Hypothèses'!$C$71/100))</f>
        <v>564965.3751250001369</v>
      </c>
      <c r="C6" s="10">
        <f>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-MAX(0,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*('Hypothèses'!$C$71/100))</f>
        <v>834290.37512500025332</v>
      </c>
      <c r="D6" s="10">
        <f>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-MAX(0,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*('Hypothèses'!$C$71/100))</f>
        <v>1103615.37512500025332</v>
      </c>
      <c r="E6" s="10">
        <f>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-MAX(0,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*('Hypothèses'!$C$71/100))</f>
        <v>1546790.37512500025332</v>
      </c>
      <c r="F6" s="10">
        <f>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-MAX(0,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*('Hypothèses'!$C$71/100))</f>
        <v>1989965.37512500025332</v>
      </c>
    </row>
    <row r="7" spans="1:6">
      <c r="A7" s="31">
        <v>0</v>
      </c>
      <c r="B7" s="10">
        <f>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-MAX(0,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*('Hypothèses'!$C$71/100))</f>
        <v>520563.010000000125729</v>
      </c>
      <c r="C7" s="10">
        <f>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-MAX(0,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*('Hypothèses'!$C$71/100))</f>
        <v>789888.010000000242144</v>
      </c>
      <c r="D7" s="10">
        <f>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-MAX(0,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*('Hypothèses'!$C$71/100))</f>
        <v>1059213.010000000242144</v>
      </c>
      <c r="E7" s="10">
        <f>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-MAX(0,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*('Hypothèses'!$C$71/100))</f>
        <v>1502388.010000000242144</v>
      </c>
      <c r="F7" s="10">
        <f>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-MAX(0,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*('Hypothèses'!$C$71/100))</f>
        <v>1945563.010000000242144</v>
      </c>
    </row>
    <row r="8" spans="1:6">
      <c r="A8" s="31">
        <v>0.05</v>
      </c>
      <c r="B8" s="10">
        <f>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-MAX(0,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*('Hypothèses'!$C$71/100))</f>
        <v>476160.64487500011455</v>
      </c>
      <c r="C8" s="10">
        <f>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-MAX(0,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*('Hypothèses'!$C$71/100))</f>
        <v>745485.64487500011455</v>
      </c>
      <c r="D8" s="10">
        <f>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-MAX(0,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*('Hypothèses'!$C$71/100))</f>
        <v>1014810.64487500023097</v>
      </c>
      <c r="E8" s="10">
        <f>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-MAX(0,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*('Hypothèses'!$C$71/100))</f>
        <v>1457985.64487500023097</v>
      </c>
      <c r="F8" s="10">
        <f>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-MAX(0,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*('Hypothèses'!$C$71/100))</f>
        <v>1901160.64487500023097</v>
      </c>
    </row>
    <row r="9" spans="1:6">
      <c r="A9" s="31">
        <v>0.1</v>
      </c>
      <c r="B9" s="10">
        <f>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-MAX(0,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*('Hypothèses'!$C$71/100))</f>
        <v>431758.27975000010338</v>
      </c>
      <c r="C9" s="10">
        <f>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-MAX(0,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*('Hypothèses'!$C$71/100))</f>
        <v>701083.27975000010338</v>
      </c>
      <c r="D9" s="10">
        <f>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-MAX(0,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*('Hypothèses'!$C$71/100))</f>
        <v>970408.27975000021979</v>
      </c>
      <c r="E9" s="10">
        <f>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-MAX(0,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*('Hypothèses'!$C$71/100))</f>
        <v>1413583.27975000021979</v>
      </c>
      <c r="F9" s="10">
        <f>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-MAX(0,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*('Hypothèses'!$C$71/100))</f>
        <v>1856758.27975000021979</v>
      </c>
    </row>
    <row r="11" spans="1:6">
      <c r="A11" s="1" t="s">
        <v>242</v>
      </c>
      <c r="B11" s="32">
        <f>IF('Hypothèses'!$C$42&gt;=0.5,(($B$14+$B$15)*(1+('Hypothèses'!$C$40/100))-Bilan!$B$6*('Hypothèses'!$C$40/100))/Bilan!$B$40,($B$14+$B$15)*(1+('Hypothèses'!$C$40/100))/Bilan!$B$40)</f>
        <v>10808.15574736842063</v>
      </c>
    </row>
    <row r="12" spans="1:6">
      <c r="A12" t="s">
        <v>243</v>
      </c>
    </row>
    <row r="13" spans="1:6">
      <c r="A13" s="1" t="s">
        <v>237</v>
      </c>
    </row>
    <row r="14" spans="1:6">
      <c r="A14" t="s">
        <v>238</v>
      </c>
      <c r="B14" s="10">
        <f>Bilan!C25</f>
        <v>2853133.33333333348855</v>
      </c>
    </row>
    <row r="15" spans="1:6">
      <c r="A15" t="s">
        <v>4</v>
      </c>
      <c r="B15" s="10">
        <f>Bilan!B34</f>
        <v>569449.31999999994878</v>
      </c>
    </row>
    <row r="16" spans="1:6">
      <c r="A16" t="s">
        <v>239</v>
      </c>
      <c r="B16" s="29">
        <f>(1-'Hypothèses'!$C$66/100)*'Hypothèses'!$C$64/100*'Hypothèses'!$C$65/12+'Hypothèses'!$C$67/100</f>
        <v>0.1745</v>
      </c>
    </row>
    <row r="17" spans="1:6">
      <c r="A17" t="s">
        <v>240</v>
      </c>
      <c r="B17" s="10">
        <f>Bilan!B10*(1+'Hypothèses'!$C$55/100)</f>
        <v>1174860</v>
      </c>
    </row>
    <row r="20" spans="1:6">
      <c r="A20" s="3" t="s">
        <v>244</v>
      </c>
      <c r="B20" s="30">
        <f>B4</f>
        <v>13000</v>
      </c>
      <c r="C20" s="30">
        <f>C4</f>
        <v>14134</v>
      </c>
      <c r="D20" s="30">
        <f>D4</f>
        <v>15268</v>
      </c>
      <c r="E20" s="30">
        <f>E4</f>
        <v>17134</v>
      </c>
      <c r="F20" s="30">
        <f>F4</f>
        <v>19000</v>
      </c>
    </row>
    <row r="21" spans="1:6">
      <c r="A21" s="33">
        <f>Bilan!$B$40-20</f>
        <v>360</v>
      </c>
      <c r="B21" s="10">
        <f>(IF('Hypothèses'!$C$42&gt;=0.5,$A21*B$20-($A21*B$20-Bilan!$B$6)*('Hypothèses'!$C$40/100)/(1+('Hypothèses'!$C$40/100)),$A21*B$20/(1+('Hypothèses'!$C$40/100)))-$B$14-$B$15)-MAX(0,(IF('Hypothèses'!$C$42&gt;=0.5,$A21*B$20-($A21*B$20-Bilan!$B$6)*('Hypothèses'!$C$40/100)/(1+('Hypothèses'!$C$40/100)),$A21*B$20/(1+('Hypothèses'!$C$40/100)))-$B$14-$B$15)*('Hypothèses'!$C$71/100))</f>
        <v>358063.0099999998928979</v>
      </c>
      <c r="C21" s="10">
        <f>(IF('Hypothèses'!$C$42&gt;=0.5,$A21*C$20-($A21*C$20-Bilan!$B$6)*('Hypothèses'!$C$40/100)/(1+('Hypothèses'!$C$40/100)),$A21*C$20/(1+('Hypothèses'!$C$40/100)))-$B$14-$B$15)-MAX(0,(IF('Hypothèses'!$C$42&gt;=0.5,$A21*C$20-($A21*C$20-Bilan!$B$6)*('Hypothèses'!$C$40/100)/(1+('Hypothèses'!$C$40/100)),$A21*C$20/(1+('Hypothèses'!$C$40/100)))-$B$14-$B$15)*('Hypothèses'!$C$71/100))</f>
        <v>613213.0099999998928979</v>
      </c>
      <c r="D21" s="10">
        <f>(IF('Hypothèses'!$C$42&gt;=0.5,$A21*D$20-($A21*D$20-Bilan!$B$6)*('Hypothèses'!$C$40/100)/(1+('Hypothèses'!$C$40/100)),$A21*D$20/(1+('Hypothèses'!$C$40/100)))-$B$14-$B$15)-MAX(0,(IF('Hypothèses'!$C$42&gt;=0.5,$A21*D$20-($A21*D$20-Bilan!$B$6)*('Hypothèses'!$C$40/100)/(1+('Hypothèses'!$C$40/100)),$A21*D$20/(1+('Hypothèses'!$C$40/100)))-$B$14-$B$15)*('Hypothèses'!$C$71/100))</f>
        <v>868363.010000000009313</v>
      </c>
      <c r="E21" s="10">
        <f>(IF('Hypothèses'!$C$42&gt;=0.5,$A21*E$20-($A21*E$20-Bilan!$B$6)*('Hypothèses'!$C$40/100)/(1+('Hypothèses'!$C$40/100)),$A21*E$20/(1+('Hypothèses'!$C$40/100)))-$B$14-$B$15)-MAX(0,(IF('Hypothèses'!$C$42&gt;=0.5,$A21*E$20-($A21*E$20-Bilan!$B$6)*('Hypothèses'!$C$40/100)/(1+('Hypothèses'!$C$40/100)),$A21*E$20/(1+('Hypothèses'!$C$40/100)))-$B$14-$B$15)*('Hypothèses'!$C$71/100))</f>
        <v>1288213.010000000009313</v>
      </c>
      <c r="F21" s="10">
        <f>(IF('Hypothèses'!$C$42&gt;=0.5,$A21*F$20-($A21*F$20-Bilan!$B$6)*('Hypothèses'!$C$40/100)/(1+('Hypothèses'!$C$40/100)),$A21*F$20/(1+('Hypothèses'!$C$40/100)))-$B$14-$B$15)-MAX(0,(IF('Hypothèses'!$C$42&gt;=0.5,$A21*F$20-($A21*F$20-Bilan!$B$6)*('Hypothèses'!$C$40/100)/(1+('Hypothèses'!$C$40/100)),$A21*F$20/(1+('Hypothèses'!$C$40/100)))-$B$14-$B$15)*('Hypothèses'!$C$71/100))</f>
        <v>1708063.010000000009313</v>
      </c>
    </row>
    <row r="22" spans="1:6">
      <c r="A22" s="33">
        <f>Bilan!$B$40-10</f>
        <v>370</v>
      </c>
      <c r="B22" s="10">
        <f>(IF('Hypothèses'!$C$42&gt;=0.5,$A22*B$20-($A22*B$20-Bilan!$B$6)*('Hypothèses'!$C$40/100)/(1+('Hypothèses'!$C$40/100)),$A22*B$20/(1+('Hypothèses'!$C$40/100)))-$B$14-$B$15)-MAX(0,(IF('Hypothèses'!$C$42&gt;=0.5,$A22*B$20-($A22*B$20-Bilan!$B$6)*('Hypothèses'!$C$40/100)/(1+('Hypothèses'!$C$40/100)),$A22*B$20/(1+('Hypothèses'!$C$40/100)))-$B$14-$B$15)*('Hypothèses'!$C$71/100))</f>
        <v>439313.010000000009313</v>
      </c>
      <c r="C22" s="10">
        <f>(IF('Hypothèses'!$C$42&gt;=0.5,$A22*C$20-($A22*C$20-Bilan!$B$6)*('Hypothèses'!$C$40/100)/(1+('Hypothèses'!$C$40/100)),$A22*C$20/(1+('Hypothèses'!$C$40/100)))-$B$14-$B$15)-MAX(0,(IF('Hypothèses'!$C$42&gt;=0.5,$A22*C$20-($A22*C$20-Bilan!$B$6)*('Hypothèses'!$C$40/100)/(1+('Hypothèses'!$C$40/100)),$A22*C$20/(1+('Hypothèses'!$C$40/100)))-$B$14-$B$15)*('Hypothèses'!$C$71/100))</f>
        <v>701550.51000000035856</v>
      </c>
      <c r="D22" s="10">
        <f>(IF('Hypothèses'!$C$42&gt;=0.5,$A22*D$20-($A22*D$20-Bilan!$B$6)*('Hypothèses'!$C$40/100)/(1+('Hypothèses'!$C$40/100)),$A22*D$20/(1+('Hypothèses'!$C$40/100)))-$B$14-$B$15)-MAX(0,(IF('Hypothèses'!$C$42&gt;=0.5,$A22*D$20-($A22*D$20-Bilan!$B$6)*('Hypothèses'!$C$40/100)/(1+('Hypothèses'!$C$40/100)),$A22*D$20/(1+('Hypothèses'!$C$40/100)))-$B$14-$B$15)*('Hypothèses'!$C$71/100))</f>
        <v>963788.010000000474975</v>
      </c>
      <c r="E22" s="10">
        <f>(IF('Hypothèses'!$C$42&gt;=0.5,$A22*E$20-($A22*E$20-Bilan!$B$6)*('Hypothèses'!$C$40/100)/(1+('Hypothèses'!$C$40/100)),$A22*E$20/(1+('Hypothèses'!$C$40/100)))-$B$14-$B$15)-MAX(0,(IF('Hypothèses'!$C$42&gt;=0.5,$A22*E$20-($A22*E$20-Bilan!$B$6)*('Hypothèses'!$C$40/100)/(1+('Hypothèses'!$C$40/100)),$A22*E$20/(1+('Hypothèses'!$C$40/100)))-$B$14-$B$15)*('Hypothèses'!$C$71/100))</f>
        <v>1395300.51000000047497</v>
      </c>
      <c r="F22" s="10">
        <f>(IF('Hypothèses'!$C$42&gt;=0.5,$A22*F$20-($A22*F$20-Bilan!$B$6)*('Hypothèses'!$C$40/100)/(1+('Hypothèses'!$C$40/100)),$A22*F$20/(1+('Hypothèses'!$C$40/100)))-$B$14-$B$15)-MAX(0,(IF('Hypothèses'!$C$42&gt;=0.5,$A22*F$20-($A22*F$20-Bilan!$B$6)*('Hypothèses'!$C$40/100)/(1+('Hypothèses'!$C$40/100)),$A22*F$20/(1+('Hypothèses'!$C$40/100)))-$B$14-$B$15)*('Hypothèses'!$C$71/100))</f>
        <v>1826813.010000000474975</v>
      </c>
    </row>
    <row r="23" spans="1:6">
      <c r="A23" s="33">
        <f>Bilan!$B$40+0</f>
        <v>380</v>
      </c>
      <c r="B23" s="10">
        <f>(IF('Hypothèses'!$C$42&gt;=0.5,$A23*B$20-($A23*B$20-Bilan!$B$6)*('Hypothèses'!$C$40/100)/(1+('Hypothèses'!$C$40/100)),$A23*B$20/(1+('Hypothèses'!$C$40/100)))-$B$14-$B$15)-MAX(0,(IF('Hypothèses'!$C$42&gt;=0.5,$A23*B$20-($A23*B$20-Bilan!$B$6)*('Hypothèses'!$C$40/100)/(1+('Hypothèses'!$C$40/100)),$A23*B$20/(1+('Hypothèses'!$C$40/100)))-$B$14-$B$15)*('Hypothèses'!$C$71/100))</f>
        <v>520563.010000000125729</v>
      </c>
      <c r="C23" s="10">
        <f>(IF('Hypothèses'!$C$42&gt;=0.5,$A23*C$20-($A23*C$20-Bilan!$B$6)*('Hypothèses'!$C$40/100)/(1+('Hypothèses'!$C$40/100)),$A23*C$20/(1+('Hypothèses'!$C$40/100)))-$B$14-$B$15)-MAX(0,(IF('Hypothèses'!$C$42&gt;=0.5,$A23*C$20-($A23*C$20-Bilan!$B$6)*('Hypothèses'!$C$40/100)/(1+('Hypothèses'!$C$40/100)),$A23*C$20/(1+('Hypothèses'!$C$40/100)))-$B$14-$B$15)*('Hypothèses'!$C$71/100))</f>
        <v>789888.010000000242144</v>
      </c>
      <c r="D23" s="10">
        <f>(IF('Hypothèses'!$C$42&gt;=0.5,$A23*D$20-($A23*D$20-Bilan!$B$6)*('Hypothèses'!$C$40/100)/(1+('Hypothèses'!$C$40/100)),$A23*D$20/(1+('Hypothèses'!$C$40/100)))-$B$14-$B$15)-MAX(0,(IF('Hypothèses'!$C$42&gt;=0.5,$A23*D$20-($A23*D$20-Bilan!$B$6)*('Hypothèses'!$C$40/100)/(1+('Hypothèses'!$C$40/100)),$A23*D$20/(1+('Hypothèses'!$C$40/100)))-$B$14-$B$15)*('Hypothèses'!$C$71/100))</f>
        <v>1059213.010000000242144</v>
      </c>
      <c r="E23" s="10">
        <f>(IF('Hypothèses'!$C$42&gt;=0.5,$A23*E$20-($A23*E$20-Bilan!$B$6)*('Hypothèses'!$C$40/100)/(1+('Hypothèses'!$C$40/100)),$A23*E$20/(1+('Hypothèses'!$C$40/100)))-$B$14-$B$15)-MAX(0,(IF('Hypothèses'!$C$42&gt;=0.5,$A23*E$20-($A23*E$20-Bilan!$B$6)*('Hypothèses'!$C$40/100)/(1+('Hypothèses'!$C$40/100)),$A23*E$20/(1+('Hypothèses'!$C$40/100)))-$B$14-$B$15)*('Hypothèses'!$C$71/100))</f>
        <v>1502388.010000000242144</v>
      </c>
      <c r="F23" s="10">
        <f>(IF('Hypothèses'!$C$42&gt;=0.5,$A23*F$20-($A23*F$20-Bilan!$B$6)*('Hypothèses'!$C$40/100)/(1+('Hypothèses'!$C$40/100)),$A23*F$20/(1+('Hypothèses'!$C$40/100)))-$B$14-$B$15)-MAX(0,(IF('Hypothèses'!$C$42&gt;=0.5,$A23*F$20-($A23*F$20-Bilan!$B$6)*('Hypothèses'!$C$40/100)/(1+('Hypothèses'!$C$40/100)),$A23*F$20/(1+('Hypothèses'!$C$40/100)))-$B$14-$B$15)*('Hypothèses'!$C$71/100))</f>
        <v>1945563.010000000242144</v>
      </c>
    </row>
    <row r="24" spans="1:6">
      <c r="A24" s="33">
        <f>Bilan!$B$40+10</f>
        <v>390</v>
      </c>
      <c r="B24" s="10">
        <f>(IF('Hypothèses'!$C$42&gt;=0.5,$A24*B$20-($A24*B$20-Bilan!$B$6)*('Hypothèses'!$C$40/100)/(1+('Hypothèses'!$C$40/100)),$A24*B$20/(1+('Hypothèses'!$C$40/100)))-$B$14-$B$15)-MAX(0,(IF('Hypothèses'!$C$42&gt;=0.5,$A24*B$20-($A24*B$20-Bilan!$B$6)*('Hypothèses'!$C$40/100)/(1+('Hypothèses'!$C$40/100)),$A24*B$20/(1+('Hypothèses'!$C$40/100)))-$B$14-$B$15)*('Hypothèses'!$C$71/100))</f>
        <v>601813.0099999998928979</v>
      </c>
      <c r="C24" s="10">
        <f>(IF('Hypothèses'!$C$42&gt;=0.5,$A24*C$20-($A24*C$20-Bilan!$B$6)*('Hypothèses'!$C$40/100)/(1+('Hypothèses'!$C$40/100)),$A24*C$20/(1+('Hypothèses'!$C$40/100)))-$B$14-$B$15)-MAX(0,(IF('Hypothèses'!$C$42&gt;=0.5,$A24*C$20-($A24*C$20-Bilan!$B$6)*('Hypothèses'!$C$40/100)/(1+('Hypothèses'!$C$40/100)),$A24*C$20/(1+('Hypothèses'!$C$40/100)))-$B$14-$B$15)*('Hypothèses'!$C$71/100))</f>
        <v>878225.51000000000931</v>
      </c>
      <c r="D24" s="10">
        <f>(IF('Hypothèses'!$C$42&gt;=0.5,$A24*D$20-($A24*D$20-Bilan!$B$6)*('Hypothèses'!$C$40/100)/(1+('Hypothèses'!$C$40/100)),$A24*D$20/(1+('Hypothèses'!$C$40/100)))-$B$14-$B$15)-MAX(0,(IF('Hypothèses'!$C$42&gt;=0.5,$A24*D$20-($A24*D$20-Bilan!$B$6)*('Hypothèses'!$C$40/100)/(1+('Hypothèses'!$C$40/100)),$A24*D$20/(1+('Hypothèses'!$C$40/100)))-$B$14-$B$15)*('Hypothèses'!$C$71/100))</f>
        <v>1154638.010000000009313</v>
      </c>
      <c r="E24" s="10">
        <f>(IF('Hypothèses'!$C$42&gt;=0.5,$A24*E$20-($A24*E$20-Bilan!$B$6)*('Hypothèses'!$C$40/100)/(1+('Hypothèses'!$C$40/100)),$A24*E$20/(1+('Hypothèses'!$C$40/100)))-$B$14-$B$15)-MAX(0,(IF('Hypothèses'!$C$42&gt;=0.5,$A24*E$20-($A24*E$20-Bilan!$B$6)*('Hypothèses'!$C$40/100)/(1+('Hypothèses'!$C$40/100)),$A24*E$20/(1+('Hypothèses'!$C$40/100)))-$B$14-$B$15)*('Hypothèses'!$C$71/100))</f>
        <v>1609475.51000000000931</v>
      </c>
      <c r="F24" s="10">
        <f>(IF('Hypothèses'!$C$42&gt;=0.5,$A24*F$20-($A24*F$20-Bilan!$B$6)*('Hypothèses'!$C$40/100)/(1+('Hypothèses'!$C$40/100)),$A24*F$20/(1+('Hypothèses'!$C$40/100)))-$B$14-$B$15)-MAX(0,(IF('Hypothèses'!$C$42&gt;=0.5,$A24*F$20-($A24*F$20-Bilan!$B$6)*('Hypothèses'!$C$40/100)/(1+('Hypothèses'!$C$40/100)),$A24*F$20/(1+('Hypothèses'!$C$40/100)))-$B$14-$B$15)*('Hypothèses'!$C$71/100))</f>
        <v>2064313.010000000009313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245</v>
      </c>
    </row>
    <row r="3" spans="1:13">
      <c r="A3" s="3" t="s">
        <v>246</v>
      </c>
      <c r="B3" s="3" t="s">
        <v>247</v>
      </c>
      <c r="C3" s="3" t="s">
        <v>248</v>
      </c>
      <c r="D3" s="3" t="s">
        <v>249</v>
      </c>
      <c r="E3" s="3"/>
      <c r="F3" s="3"/>
      <c r="G3" s="3" t="s">
        <v>250</v>
      </c>
      <c r="H3" s="3"/>
      <c r="I3" s="3"/>
      <c r="J3" s="3" t="s">
        <v>251</v>
      </c>
      <c r="K3" s="3"/>
      <c r="L3" s="3"/>
    </row>
    <row r="4" spans="1:13">
      <c r="A4" s="3"/>
      <c r="B4" s="3"/>
      <c r="C4" s="3"/>
      <c r="D4" s="3" t="s">
        <v>252</v>
      </c>
      <c r="E4" s="3" t="s">
        <v>253</v>
      </c>
      <c r="F4" s="3" t="s">
        <v>254</v>
      </c>
      <c r="G4" s="3" t="s">
        <v>252</v>
      </c>
      <c r="H4" s="3" t="s">
        <v>253</v>
      </c>
      <c r="I4" s="3" t="s">
        <v>254</v>
      </c>
      <c r="J4" s="3" t="s">
        <v>252</v>
      </c>
      <c r="K4" s="3" t="s">
        <v>253</v>
      </c>
      <c r="L4" s="3" t="s">
        <v>254</v>
      </c>
      <c r="M4" t="s">
        <v>273</v>
      </c>
    </row>
    <row r="5" spans="1:13" customHeight="1" ht="62">
      <c r="A5" t="s">
        <v>255</v>
      </c>
      <c r="B5" t="s">
        <v>256</v>
      </c>
      <c r="C5" s="7" t="s">
        <v>257</v>
      </c>
      <c r="D5" s="10">
        <f>'Rénover-revendre'!F18</f>
        <v>-844999.875</v>
      </c>
      <c r="E5" s="10">
        <f>'Rénover-revendre'!I18</f>
        <v>-475769.375</v>
      </c>
      <c r="F5" s="10">
        <f>'Rénover-revendre'!L18</f>
        <v>-269401.875</v>
      </c>
      <c r="G5" s="13">
        <f>'Rénover-revendre'!F19</f>
        <v>-0.88103417266187</v>
      </c>
      <c r="H5" s="13">
        <f>'Rénover-revendre'!I19</f>
        <v>-0.35511802575107</v>
      </c>
      <c r="I5" s="13">
        <f>'Rénover-revendre'!L19</f>
        <v>-0.17352777777778</v>
      </c>
      <c r="J5" s="10">
        <f>'Rénover-revendre'!F20</f>
        <v>507985.11904761916958</v>
      </c>
      <c r="K5" s="10">
        <f>'Rénover-revendre'!I20</f>
        <v>783234.67813051154371</v>
      </c>
      <c r="L5" s="10">
        <f>'Rénover-revendre'!L20</f>
        <v>937075.066137566231191</v>
      </c>
      <c r="M5">
        <f>IF(OR(B5="Improbable",B5="Impossible"),-1E+15,IF(ISNUMBER(E5),E5,-1E+15))</f>
        <v>-475769.375</v>
      </c>
    </row>
    <row r="6" spans="1:13" customHeight="1" ht="62">
      <c r="A6" t="s">
        <v>45</v>
      </c>
      <c r="B6" t="s">
        <v>258</v>
      </c>
      <c r="C6" s="7" t="s">
        <v>259</v>
      </c>
      <c r="D6" s="10">
        <f>'Extension max'!F21</f>
        <v>-322621.5</v>
      </c>
      <c r="E6" s="10">
        <f>'Extension max'!I21</f>
        <v>624535</v>
      </c>
      <c r="F6" s="10">
        <f>'Extension max'!L21</f>
        <v>1153912.5</v>
      </c>
      <c r="G6" s="13">
        <f>'Extension max'!F22</f>
        <v>-0.13113095963907</v>
      </c>
      <c r="H6" s="13">
        <f>'Extension max'!I22</f>
        <v>0.18172255764894</v>
      </c>
      <c r="I6" s="13">
        <f>'Extension max'!L22</f>
        <v>0.28974576271186</v>
      </c>
      <c r="J6" s="10">
        <f>'Extension max'!F23</f>
        <v>788832.051282051252201</v>
      </c>
      <c r="K6" s="10">
        <f>'Extension max'!I23</f>
        <v>1473181.6239316239953</v>
      </c>
      <c r="L6" s="10">
        <f>'Extension max'!L23</f>
        <v>1855673.076923076994717</v>
      </c>
      <c r="M6">
        <f>IF(OR(B6="Improbable",B6="Impossible"),-1E+15,IF(ISNUMBER(E6),E6,-1E+15))</f>
        <v>624535</v>
      </c>
    </row>
    <row r="7" spans="1:13" customHeight="1" ht="62">
      <c r="A7" t="s">
        <v>260</v>
      </c>
      <c r="B7" t="s">
        <v>261</v>
      </c>
      <c r="C7" s="7" t="s">
        <v>262</v>
      </c>
      <c r="D7" t="s">
        <v>263</v>
      </c>
      <c r="M7">
        <f>IF(OR(B7="Improbable",B7="Impossible"),-1E+15,IF(ISNUMBER(E7),E7,-1E+15))</f>
        <v>-1.0E+15</v>
      </c>
    </row>
    <row r="8" spans="1:13" customHeight="1" ht="62">
      <c r="A8" t="s">
        <v>264</v>
      </c>
      <c r="B8" t="s">
        <v>256</v>
      </c>
      <c r="C8" s="7" t="s">
        <v>265</v>
      </c>
      <c r="D8" s="10">
        <f>'Extension + rénovation'!F22</f>
        <v>-748148.375</v>
      </c>
      <c r="E8" s="10">
        <f>'Extension + rénovation'!I22</f>
        <v>-122061.875</v>
      </c>
      <c r="F8" s="10">
        <f>'Extension + rénovation'!L22</f>
        <v>227865.625</v>
      </c>
      <c r="G8" s="13">
        <f>'Extension + rénovation'!F23</f>
        <v>-0.46003097521982</v>
      </c>
      <c r="H8" s="13">
        <f>'Extension + rénovation'!I23</f>
        <v>-0.053730329041488</v>
      </c>
      <c r="I8" s="13">
        <f>'Extension + rénovation'!L23</f>
        <v>0.086558641975309</v>
      </c>
      <c r="J8" s="10">
        <f>'Extension + rénovation'!F24</f>
        <v>532056.94444444437977</v>
      </c>
      <c r="K8" s="10">
        <f>'Extension + rénovation'!I24</f>
        <v>984423.61111111100763</v>
      </c>
      <c r="L8" s="10">
        <f>'Extension + rénovation'!L24</f>
        <v>1237256.94444444449618</v>
      </c>
      <c r="M8">
        <f>IF(OR(B8="Improbable",B8="Impossible"),-1E+15,IF(ISNUMBER(E8),E8,-1E+15))</f>
        <v>-122061.875</v>
      </c>
    </row>
    <row r="9" spans="1:13" customHeight="1" ht="62">
      <c r="A9" t="s">
        <v>266</v>
      </c>
      <c r="B9" t="s">
        <v>261</v>
      </c>
      <c r="C9" s="7" t="s">
        <v>267</v>
      </c>
      <c r="D9" t="s">
        <v>263</v>
      </c>
      <c r="M9">
        <f>IF(OR(B9="Improbable",B9="Impossible"),-1E+15,IF(ISNUMBER(E9),E9,-1E+15))</f>
        <v>-1.0E+15</v>
      </c>
    </row>
    <row r="10" spans="1:13" customHeight="1" ht="62">
      <c r="A10" t="s">
        <v>268</v>
      </c>
      <c r="B10" t="s">
        <v>258</v>
      </c>
      <c r="C10" s="7" t="s">
        <v>269</v>
      </c>
      <c r="D10" s="10">
        <f>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</f>
        <v>520563.010000000125729</v>
      </c>
      <c r="E10" s="10">
        <f>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</f>
        <v>1059213.010000000242144</v>
      </c>
      <c r="F10" s="10">
        <f>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</f>
        <v>1945563.010000000242144</v>
      </c>
      <c r="G10" s="13">
        <f>(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)/(IF('Hypothèses'!$C$42&gt;=0.5,Bilan!$B$40*'Hypothèses'!$C$37-(Bilan!$B$40*'Hypothèses'!$C$37-Bilan!$B$6)*('Hypothèses'!$C$40/100)/(1+('Hypothèses'!$C$40/100)),Bilan!$B$40*'Hypothèses'!$C$37/(1+('Hypothèses'!$C$40/100))))</f>
        <v>0.12645255303644</v>
      </c>
      <c r="H10" s="13">
        <f>(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)/(IF('Hypothèses'!$C$42&gt;=0.5,Bilan!$B$40*'Hypothèses'!$C$38-(Bilan!$B$40*'Hypothèses'!$C$38-Bilan!$B$6)*('Hypothèses'!$C$40/100)/(1+('Hypothèses'!$C$40/100)),Bilan!$B$40*'Hypothèses'!$C$38/(1+('Hypothèses'!$C$40/100))))</f>
        <v>0.21907801869752</v>
      </c>
      <c r="I10" s="13">
        <f>(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)/(IF('Hypothèses'!$C$42&gt;=0.5,Bilan!$B$40*'Hypothèses'!$C$39-(Bilan!$B$40*'Hypothèses'!$C$39-Bilan!$B$6)*('Hypothèses'!$C$40/100)/(1+('Hypothèses'!$C$40/100)),Bilan!$B$40*'Hypothèses'!$C$39/(1+('Hypothèses'!$C$40/100))))</f>
        <v>0.32336227313019</v>
      </c>
      <c r="J10" s="10">
        <f>((1-('Hypothèses'!$C$71/100))*((Bilan!$B$40*'Hypothèses'!$C$37/(1+('Hypothèses'!$C$40/100)))-(Bilan!$C$25-Bilan!$C$6)-'Hypothèses'!$C$68-'Sensibilité'!$B$16*(Bilan!$B$25-Bilan!$B$6))-('Hypothèses'!$C$33/100)*(Bilan!$B$40*'Hypothèses'!$C$37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1089953.75053214142099</v>
      </c>
      <c r="K10" s="10">
        <f>((1-('Hypothèses'!$C$71/100))*((Bilan!$B$40*'Hypothèses'!$C$38/(1+('Hypothèses'!$C$40/100)))-(Bilan!$C$25-Bilan!$C$6)-'Hypothèses'!$C$68-'Sensibilité'!$B$16*(Bilan!$B$25-Bilan!$B$6))-('Hypothèses'!$C$33/100)*(Bilan!$B$40*'Hypothèses'!$C$38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1579149.15283099212684</v>
      </c>
      <c r="L10" s="10">
        <f>((1-('Hypothèses'!$C$71/100))*((Bilan!$B$40*'Hypothèses'!$C$39/(1+('Hypothèses'!$C$40/100)))-(Bilan!$C$25-Bilan!$C$6)-'Hypothèses'!$C$68-'Sensibilité'!$B$16*(Bilan!$B$25-Bilan!$B$6))-('Hypothèses'!$C$33/100)*(Bilan!$B$40*'Hypothèses'!$C$39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2384121.48148148227483</v>
      </c>
      <c r="M10">
        <f>IF(OR(B10="Improbable",B10="Impossible"),-1E+15,IF(ISNUMBER(E10),E10,-1E+15))</f>
        <v>1059213.010000000242144</v>
      </c>
    </row>
    <row r="11" spans="1:13" customHeight="1" ht="62">
      <c r="A11" t="s">
        <v>270</v>
      </c>
      <c r="B11" t="s">
        <v>261</v>
      </c>
      <c r="C11" s="7" t="s">
        <v>271</v>
      </c>
      <c r="D11" t="s">
        <v>263</v>
      </c>
      <c r="M11">
        <f>IF(OR(B11="Improbable",B11="Impossible"),-1E+15,IF(ISNUMBER(E11),E11,-1E+15))</f>
        <v>-1.0E+15</v>
      </c>
    </row>
    <row r="13" spans="1:13">
      <c r="A13" s="1" t="s">
        <v>272</v>
      </c>
      <c r="B13" s="1"/>
      <c r="C13" s="1"/>
      <c r="D13" s="1" t="str">
        <f>INDEX(A5:A11,MATCH(MAX(M5:M11),M5:M11,0))</f>
        <v>Démolition-reconstruction (neuf)</v>
      </c>
    </row>
    <row r="15" spans="1:13">
      <c r="A15" t="s">
        <v>274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255</v>
      </c>
    </row>
    <row r="2" spans="1:12" customHeight="1" ht="48">
      <c r="A2" s="7" t="s">
        <v>275</v>
      </c>
    </row>
    <row r="3" spans="1:12">
      <c r="D3" t="s">
        <v>277</v>
      </c>
      <c r="E3" s="8">
        <f>'Hypothèses'!$C$9</f>
        <v>8340</v>
      </c>
      <c r="G3" t="s">
        <v>277</v>
      </c>
      <c r="H3" s="8">
        <f>'Hypothèses'!$C$10</f>
        <v>11650</v>
      </c>
      <c r="J3" t="s">
        <v>277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276</v>
      </c>
      <c r="E4" s="3"/>
      <c r="F4" s="3"/>
      <c r="G4" s="3" t="s">
        <v>280</v>
      </c>
      <c r="H4" s="3"/>
      <c r="I4" s="3"/>
      <c r="J4" s="3" t="s">
        <v>281</v>
      </c>
      <c r="K4" s="3"/>
      <c r="L4" s="3"/>
    </row>
    <row r="5" spans="1:12">
      <c r="A5" s="3"/>
      <c r="B5" s="3"/>
      <c r="C5" s="3"/>
      <c r="D5" s="3" t="s">
        <v>278</v>
      </c>
      <c r="E5" s="3" t="s">
        <v>279</v>
      </c>
      <c r="F5" s="3" t="s">
        <v>186</v>
      </c>
      <c r="G5" s="3" t="s">
        <v>278</v>
      </c>
      <c r="H5" s="3" t="s">
        <v>279</v>
      </c>
      <c r="I5" s="3" t="s">
        <v>186</v>
      </c>
      <c r="J5" s="3" t="s">
        <v>278</v>
      </c>
      <c r="K5" s="3" t="s">
        <v>279</v>
      </c>
      <c r="L5" s="3" t="s">
        <v>186</v>
      </c>
    </row>
    <row r="6" spans="1:12">
      <c r="A6" t="s">
        <v>282</v>
      </c>
      <c r="B6" t="s">
        <v>42</v>
      </c>
      <c r="C6" t="s">
        <v>283</v>
      </c>
      <c r="D6" s="11">
        <f>'Hypothèses'!$C$13</f>
        <v>115</v>
      </c>
      <c r="E6" s="12">
        <f>'Hypothèses'!$C$9</f>
        <v>8340</v>
      </c>
      <c r="F6" s="12">
        <f>D6*E6</f>
        <v>959100</v>
      </c>
      <c r="G6" s="11">
        <f>'Hypothèses'!$C$13</f>
        <v>115</v>
      </c>
      <c r="H6" s="12">
        <f>'Hypothèses'!$C$10</f>
        <v>11650</v>
      </c>
      <c r="I6" s="12">
        <f>G6*H6</f>
        <v>1339750</v>
      </c>
      <c r="J6" s="11">
        <f>'Hypothèses'!$C$13</f>
        <v>115</v>
      </c>
      <c r="K6" s="12">
        <f>'Hypothèses'!$C$11</f>
        <v>13500</v>
      </c>
      <c r="L6" s="12">
        <f>J6*K6</f>
        <v>1552500</v>
      </c>
    </row>
    <row r="7" spans="1:12">
      <c r="A7" t="s">
        <v>284</v>
      </c>
      <c r="B7" t="s">
        <v>285</v>
      </c>
      <c r="C7" t="s">
        <v>286</v>
      </c>
      <c r="D7" s="9">
        <f>1</f>
        <v>1</v>
      </c>
      <c r="E7" s="10">
        <f>'Hypothèses'!$C$6</f>
        <v>1380000</v>
      </c>
      <c r="F7" s="10">
        <f>D7*E7</f>
        <v>1380000</v>
      </c>
      <c r="G7" s="9">
        <f>1</f>
        <v>1</v>
      </c>
      <c r="H7" s="10">
        <f>'Hypothèses'!$C$6</f>
        <v>1380000</v>
      </c>
      <c r="I7" s="10">
        <f>G7*H7</f>
        <v>1380000</v>
      </c>
      <c r="J7" s="9">
        <f>1</f>
        <v>1</v>
      </c>
      <c r="K7" s="10">
        <f>'Hypothèses'!$C$6</f>
        <v>1380000</v>
      </c>
      <c r="L7" s="10">
        <f>J7*K7</f>
        <v>1380000</v>
      </c>
    </row>
    <row r="8" spans="1:12">
      <c r="A8" t="s">
        <v>287</v>
      </c>
      <c r="B8" t="s">
        <v>27</v>
      </c>
      <c r="C8" t="s">
        <v>288</v>
      </c>
      <c r="D8" s="10">
        <f>F7</f>
        <v>1380000</v>
      </c>
      <c r="E8" s="13">
        <f>'Hypothèses'!$C$7/100</f>
        <v>0.08</v>
      </c>
      <c r="F8" s="10">
        <f>D8*E8</f>
        <v>110400</v>
      </c>
      <c r="G8" s="10">
        <f>I7</f>
        <v>1380000</v>
      </c>
      <c r="H8" s="13">
        <f>'Hypothèses'!$C$7/100</f>
        <v>0.08</v>
      </c>
      <c r="I8" s="10">
        <f>G8*H8</f>
        <v>110400</v>
      </c>
      <c r="J8" s="10">
        <f>L7</f>
        <v>1380000</v>
      </c>
      <c r="K8" s="13">
        <f>'Hypothèses'!$C$7/100</f>
        <v>0.08</v>
      </c>
      <c r="L8" s="10">
        <f>J8*K8</f>
        <v>110400</v>
      </c>
    </row>
    <row r="9" spans="1:12">
      <c r="A9" t="s">
        <v>289</v>
      </c>
      <c r="B9" t="s">
        <v>42</v>
      </c>
      <c r="C9" t="s">
        <v>290</v>
      </c>
      <c r="D9" s="9">
        <f>'Hypothèses'!$C$13</f>
        <v>115</v>
      </c>
      <c r="E9" s="10">
        <f>'Hypothèses'!$C$17</f>
        <v>1500</v>
      </c>
      <c r="F9" s="10">
        <f>D9*E9</f>
        <v>172500</v>
      </c>
      <c r="G9" s="9">
        <f>'Hypothèses'!$C$13</f>
        <v>115</v>
      </c>
      <c r="H9" s="10">
        <f>'Hypothèses'!$C$17</f>
        <v>1500</v>
      </c>
      <c r="I9" s="10">
        <f>G9*H9</f>
        <v>172500</v>
      </c>
      <c r="J9" s="9">
        <f>'Hypothèses'!$C$13</f>
        <v>115</v>
      </c>
      <c r="K9" s="10">
        <f>'Hypothèses'!$C$17</f>
        <v>1500</v>
      </c>
      <c r="L9" s="10">
        <f>J9*K9</f>
        <v>172500</v>
      </c>
    </row>
    <row r="10" spans="1:12">
      <c r="A10" t="s">
        <v>291</v>
      </c>
      <c r="B10" t="s">
        <v>27</v>
      </c>
      <c r="C10" t="s">
        <v>292</v>
      </c>
      <c r="D10" s="10">
        <f>F9</f>
        <v>172500</v>
      </c>
      <c r="E10" s="13">
        <f>'Hypothèses'!$C$23/100</f>
        <v>0.06</v>
      </c>
      <c r="F10" s="10">
        <f>D10*E10</f>
        <v>10350</v>
      </c>
      <c r="G10" s="10">
        <f>I9</f>
        <v>172500</v>
      </c>
      <c r="H10" s="13">
        <f>'Hypothèses'!$C$23/100</f>
        <v>0.06</v>
      </c>
      <c r="I10" s="10">
        <f>G10*H10</f>
        <v>10350</v>
      </c>
      <c r="J10" s="10">
        <f>L9</f>
        <v>172500</v>
      </c>
      <c r="K10" s="13">
        <f>'Hypothèses'!$C$23/100</f>
        <v>0.06</v>
      </c>
      <c r="L10" s="10">
        <f>J10*K10</f>
        <v>10350</v>
      </c>
    </row>
    <row r="11" spans="1:12">
      <c r="A11" t="s">
        <v>66</v>
      </c>
      <c r="B11" t="s">
        <v>27</v>
      </c>
      <c r="C11" t="s">
        <v>292</v>
      </c>
      <c r="D11" s="10">
        <f>F9</f>
        <v>172500</v>
      </c>
      <c r="E11" s="13">
        <f>'Hypothèses'!$C$26/100</f>
        <v>0.03</v>
      </c>
      <c r="F11" s="10">
        <f>D11*E11</f>
        <v>5175</v>
      </c>
      <c r="G11" s="10">
        <f>I9</f>
        <v>172500</v>
      </c>
      <c r="H11" s="13">
        <f>'Hypothèses'!$C$26/100</f>
        <v>0.03</v>
      </c>
      <c r="I11" s="10">
        <f>G11*H11</f>
        <v>5175</v>
      </c>
      <c r="J11" s="10">
        <f>L9</f>
        <v>172500</v>
      </c>
      <c r="K11" s="13">
        <f>'Hypothèses'!$C$26/100</f>
        <v>0.03</v>
      </c>
      <c r="L11" s="10">
        <f>J11*K11</f>
        <v>5175</v>
      </c>
    </row>
    <row r="12" spans="1:12">
      <c r="A12" t="s">
        <v>67</v>
      </c>
      <c r="B12" t="s">
        <v>27</v>
      </c>
      <c r="C12" t="s">
        <v>292</v>
      </c>
      <c r="D12" s="10">
        <f>F9</f>
        <v>172500</v>
      </c>
      <c r="E12" s="13">
        <f>'Hypothèses'!$C$27/100</f>
        <v>0.1</v>
      </c>
      <c r="F12" s="10">
        <f>D12*E12</f>
        <v>17250</v>
      </c>
      <c r="G12" s="10">
        <f>I9</f>
        <v>172500</v>
      </c>
      <c r="H12" s="13">
        <f>'Hypothèses'!$C$27/100</f>
        <v>0.1</v>
      </c>
      <c r="I12" s="10">
        <f>G12*H12</f>
        <v>17250</v>
      </c>
      <c r="J12" s="10">
        <f>L9</f>
        <v>172500</v>
      </c>
      <c r="K12" s="13">
        <f>'Hypothèses'!$C$27/100</f>
        <v>0.1</v>
      </c>
      <c r="L12" s="10">
        <f>J12*K12</f>
        <v>17250</v>
      </c>
    </row>
    <row r="13" spans="1:12">
      <c r="A13" t="s">
        <v>293</v>
      </c>
      <c r="B13" t="s">
        <v>27</v>
      </c>
      <c r="C13" t="s">
        <v>294</v>
      </c>
      <c r="D13" s="10">
        <f>F7+F8+0.5*(F9+F10+F11+F12)</f>
        <v>1593037.5</v>
      </c>
      <c r="E13" s="13">
        <f>'Hypothèses'!$C$30/100*'Hypothèses'!$C$31/12</f>
        <v>0.05</v>
      </c>
      <c r="F13" s="10">
        <f>D13*E13</f>
        <v>79651.87500000001455</v>
      </c>
      <c r="G13" s="10">
        <f>I7+I8+0.5*(I9+I10+I11+I12)</f>
        <v>1593037.5</v>
      </c>
      <c r="H13" s="13">
        <f>'Hypothèses'!$C$30/100*'Hypothèses'!$C$31/12</f>
        <v>0.05</v>
      </c>
      <c r="I13" s="10">
        <f>G13*H13</f>
        <v>79651.87500000001455</v>
      </c>
      <c r="J13" s="10">
        <f>L7+L8+0.5*(L9+L10+L11+L12)</f>
        <v>1593037.5</v>
      </c>
      <c r="K13" s="13">
        <f>'Hypothèses'!$C$30/100*'Hypothèses'!$C$31/12</f>
        <v>0.05</v>
      </c>
      <c r="L13" s="10">
        <f>J13*K13</f>
        <v>79651.87500000001455</v>
      </c>
    </row>
    <row r="14" spans="1:12">
      <c r="A14" t="s">
        <v>69</v>
      </c>
      <c r="B14" t="s">
        <v>27</v>
      </c>
      <c r="C14" t="s">
        <v>295</v>
      </c>
      <c r="D14" s="10">
        <f>F6</f>
        <v>959100</v>
      </c>
      <c r="E14" s="13">
        <f>'Hypothèses'!$C$28/100</f>
        <v>0.03</v>
      </c>
      <c r="F14" s="10">
        <f>D14*E14</f>
        <v>28773</v>
      </c>
      <c r="G14" s="10">
        <f>I6</f>
        <v>1339750</v>
      </c>
      <c r="H14" s="13">
        <f>'Hypothèses'!$C$28/100</f>
        <v>0.03</v>
      </c>
      <c r="I14" s="10">
        <f>G14*H14</f>
        <v>40192.5</v>
      </c>
      <c r="J14" s="10">
        <f>L6</f>
        <v>1552500</v>
      </c>
      <c r="K14" s="13">
        <f>'Hypothèses'!$C$28/100</f>
        <v>0.03</v>
      </c>
      <c r="L14" s="10">
        <f>J14*K14</f>
        <v>46575</v>
      </c>
    </row>
    <row r="16" spans="1:12">
      <c r="A16" s="15" t="s">
        <v>296</v>
      </c>
      <c r="B16" s="16"/>
      <c r="C16" s="16"/>
      <c r="D16" s="16"/>
      <c r="E16" s="16"/>
      <c r="F16" s="17">
        <f>F7+F8+F9+F10+F11+F12+F13+F14</f>
        <v>1804099.875</v>
      </c>
      <c r="G16" s="16"/>
      <c r="H16" s="16"/>
      <c r="I16" s="17">
        <f>I7+I8+I9+I10+I11+I12+I13+I14</f>
        <v>1815519.375</v>
      </c>
      <c r="J16" s="16"/>
      <c r="K16" s="16"/>
      <c r="L16" s="17">
        <f>L7+L8+L9+L10+L11+L12+L13+L14</f>
        <v>1821901.875</v>
      </c>
    </row>
    <row r="17" spans="1:12">
      <c r="A17" s="1" t="s">
        <v>297</v>
      </c>
      <c r="F17" s="10">
        <f>F6-(F7+F8+F9+F10+F11+F12)</f>
        <v>-736575</v>
      </c>
      <c r="I17" s="10">
        <f>I6-(I7+I8+I9+I10+I11+I12)</f>
        <v>-355925</v>
      </c>
      <c r="L17" s="10">
        <f>L6-(L7+L8+L9+L10+L11+L12)</f>
        <v>-143175</v>
      </c>
    </row>
    <row r="18" spans="1:12">
      <c r="A18" s="1" t="s">
        <v>249</v>
      </c>
      <c r="F18" s="12">
        <f>F6-F16</f>
        <v>-844999.875</v>
      </c>
      <c r="I18" s="12">
        <f>I6-I16</f>
        <v>-475769.375</v>
      </c>
      <c r="L18" s="12">
        <f>L6-L16</f>
        <v>-269401.875</v>
      </c>
    </row>
    <row r="19" spans="1:12">
      <c r="A19" s="1" t="s">
        <v>298</v>
      </c>
      <c r="F19" s="14">
        <f>F18/F6</f>
        <v>-0.88103417266187</v>
      </c>
      <c r="I19" s="14">
        <f>I18/I6</f>
        <v>-0.35511802575107</v>
      </c>
      <c r="L19" s="14">
        <f>L18/L6</f>
        <v>-0.17352777777778</v>
      </c>
    </row>
    <row r="20" spans="1:12">
      <c r="A20" s="1" t="s">
        <v>299</v>
      </c>
      <c r="F20" s="10">
        <f>F7+(F18-'Hypothèses'!$C$33/100*F6)/((1+'Hypothèses'!$C$7/100)*(1+'Hypothèses'!$C$30/100*'Hypothèses'!$C$31/12))</f>
        <v>507985.11904761916958</v>
      </c>
      <c r="I20" s="10">
        <f>I7+(I18-'Hypothèses'!$C$33/100*I6)/((1+'Hypothèses'!$C$7/100)*(1+'Hypothèses'!$C$30/100*'Hypothèses'!$C$31/12))</f>
        <v>783234.67813051154371</v>
      </c>
      <c r="L20" s="10">
        <f>L7+(L18-'Hypothèses'!$C$33/100*L6)/((1+'Hypothèses'!$C$7/100)*(1+'Hypothèses'!$C$30/100*'Hypothèses'!$C$31/12))</f>
        <v>937075.066137566231191</v>
      </c>
    </row>
    <row r="21" spans="1:12">
      <c r="A21" s="1" t="s">
        <v>300</v>
      </c>
      <c r="F21" s="13">
        <f>F20/F7-1</f>
        <v>-0.63189484126984</v>
      </c>
      <c r="I21" s="13">
        <f>I20/I7-1</f>
        <v>-0.43243863903586</v>
      </c>
      <c r="L21" s="13">
        <f>L20/L7-1</f>
        <v>-0.32096009700176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45</v>
      </c>
    </row>
    <row r="2" spans="1:12" customHeight="1" ht="48">
      <c r="A2" s="7" t="s">
        <v>301</v>
      </c>
    </row>
    <row r="3" spans="1:12">
      <c r="D3" t="s">
        <v>277</v>
      </c>
      <c r="E3" s="8">
        <f>'Hypothèses'!$C$9</f>
        <v>8340</v>
      </c>
      <c r="G3" t="s">
        <v>277</v>
      </c>
      <c r="H3" s="8">
        <f>'Hypothèses'!$C$10</f>
        <v>11650</v>
      </c>
      <c r="J3" t="s">
        <v>277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276</v>
      </c>
      <c r="E4" s="3"/>
      <c r="F4" s="3"/>
      <c r="G4" s="3" t="s">
        <v>280</v>
      </c>
      <c r="H4" s="3"/>
      <c r="I4" s="3"/>
      <c r="J4" s="3" t="s">
        <v>281</v>
      </c>
      <c r="K4" s="3"/>
      <c r="L4" s="3"/>
    </row>
    <row r="5" spans="1:12">
      <c r="A5" s="3"/>
      <c r="B5" s="3"/>
      <c r="C5" s="3"/>
      <c r="D5" s="3" t="s">
        <v>278</v>
      </c>
      <c r="E5" s="3" t="s">
        <v>279</v>
      </c>
      <c r="F5" s="3" t="s">
        <v>186</v>
      </c>
      <c r="G5" s="3" t="s">
        <v>278</v>
      </c>
      <c r="H5" s="3" t="s">
        <v>279</v>
      </c>
      <c r="I5" s="3" t="s">
        <v>186</v>
      </c>
      <c r="J5" s="3" t="s">
        <v>278</v>
      </c>
      <c r="K5" s="3" t="s">
        <v>279</v>
      </c>
      <c r="L5" s="3" t="s">
        <v>186</v>
      </c>
    </row>
    <row r="6" spans="1:12">
      <c r="A6" t="s">
        <v>302</v>
      </c>
      <c r="B6" t="s">
        <v>42</v>
      </c>
      <c r="C6" t="s">
        <v>303</v>
      </c>
      <c r="D6" s="11">
        <f>'Hypothèses'!$C$13+'Hypothèses'!$C$15</f>
        <v>295</v>
      </c>
      <c r="E6" s="12">
        <f>'Hypothèses'!$C$9</f>
        <v>8340</v>
      </c>
      <c r="F6" s="12">
        <f>D6*E6</f>
        <v>2460300</v>
      </c>
      <c r="G6" s="11">
        <f>'Hypothèses'!$C$13+'Hypothèses'!$C$15</f>
        <v>295</v>
      </c>
      <c r="H6" s="12">
        <f>'Hypothèses'!$C$10</f>
        <v>11650</v>
      </c>
      <c r="I6" s="12">
        <f>G6*H6</f>
        <v>3436750</v>
      </c>
      <c r="J6" s="11">
        <f>'Hypothèses'!$C$13+'Hypothèses'!$C$15</f>
        <v>295</v>
      </c>
      <c r="K6" s="12">
        <f>'Hypothèses'!$C$11</f>
        <v>13500</v>
      </c>
      <c r="L6" s="12">
        <f>J6*K6</f>
        <v>3982500</v>
      </c>
    </row>
    <row r="7" spans="1:12">
      <c r="A7" t="s">
        <v>284</v>
      </c>
      <c r="B7" t="s">
        <v>285</v>
      </c>
      <c r="C7" t="s">
        <v>286</v>
      </c>
      <c r="D7" s="9">
        <f>1</f>
        <v>1</v>
      </c>
      <c r="E7" s="10">
        <f>'Hypothèses'!$C$6</f>
        <v>1380000</v>
      </c>
      <c r="F7" s="10">
        <f>D7*E7</f>
        <v>1380000</v>
      </c>
      <c r="G7" s="9">
        <f>1</f>
        <v>1</v>
      </c>
      <c r="H7" s="10">
        <f>'Hypothèses'!$C$6</f>
        <v>1380000</v>
      </c>
      <c r="I7" s="10">
        <f>G7*H7</f>
        <v>1380000</v>
      </c>
      <c r="J7" s="9">
        <f>1</f>
        <v>1</v>
      </c>
      <c r="K7" s="10">
        <f>'Hypothèses'!$C$6</f>
        <v>1380000</v>
      </c>
      <c r="L7" s="10">
        <f>J7*K7</f>
        <v>1380000</v>
      </c>
    </row>
    <row r="8" spans="1:12">
      <c r="A8" t="s">
        <v>287</v>
      </c>
      <c r="B8" t="s">
        <v>27</v>
      </c>
      <c r="C8" t="s">
        <v>288</v>
      </c>
      <c r="D8" s="10">
        <f>F7</f>
        <v>1380000</v>
      </c>
      <c r="E8" s="13">
        <f>'Hypothèses'!$C$7/100</f>
        <v>0.08</v>
      </c>
      <c r="F8" s="10">
        <f>D8*E8</f>
        <v>110400</v>
      </c>
      <c r="G8" s="10">
        <f>I7</f>
        <v>1380000</v>
      </c>
      <c r="H8" s="13">
        <f>'Hypothèses'!$C$7/100</f>
        <v>0.08</v>
      </c>
      <c r="I8" s="10">
        <f>G8*H8</f>
        <v>110400</v>
      </c>
      <c r="J8" s="10">
        <f>L7</f>
        <v>1380000</v>
      </c>
      <c r="K8" s="13">
        <f>'Hypothèses'!$C$7/100</f>
        <v>0.08</v>
      </c>
      <c r="L8" s="10">
        <f>J8*K8</f>
        <v>110400</v>
      </c>
    </row>
    <row r="9" spans="1:12">
      <c r="A9" t="s">
        <v>304</v>
      </c>
      <c r="B9" t="s">
        <v>42</v>
      </c>
      <c r="C9" t="s">
        <v>305</v>
      </c>
      <c r="D9" s="9">
        <f>'Hypothèses'!$C$15</f>
        <v>180</v>
      </c>
      <c r="E9" s="10">
        <f>'Hypothèses'!$C$18</f>
        <v>4000</v>
      </c>
      <c r="F9" s="10">
        <f>D9*E9</f>
        <v>720000</v>
      </c>
      <c r="G9" s="9">
        <f>'Hypothèses'!$C$15</f>
        <v>180</v>
      </c>
      <c r="H9" s="10">
        <f>'Hypothèses'!$C$18</f>
        <v>4000</v>
      </c>
      <c r="I9" s="10">
        <f>G9*H9</f>
        <v>720000</v>
      </c>
      <c r="J9" s="9">
        <f>'Hypothèses'!$C$15</f>
        <v>180</v>
      </c>
      <c r="K9" s="10">
        <f>'Hypothèses'!$C$18</f>
        <v>4000</v>
      </c>
      <c r="L9" s="10">
        <f>J9*K9</f>
        <v>720000</v>
      </c>
    </row>
    <row r="10" spans="1:12">
      <c r="A10" t="s">
        <v>306</v>
      </c>
      <c r="B10" t="s">
        <v>42</v>
      </c>
      <c r="C10" t="s">
        <v>307</v>
      </c>
      <c r="D10" s="9">
        <f>'Hypothèses'!$C$15</f>
        <v>180</v>
      </c>
      <c r="E10" s="10">
        <f>'Hypothèses'!$C$19</f>
        <v>300</v>
      </c>
      <c r="F10" s="10">
        <f>D10*E10</f>
        <v>54000</v>
      </c>
      <c r="G10" s="9">
        <f>'Hypothèses'!$C$15</f>
        <v>180</v>
      </c>
      <c r="H10" s="10">
        <f>'Hypothèses'!$C$19</f>
        <v>300</v>
      </c>
      <c r="I10" s="10">
        <f>G10*H10</f>
        <v>54000</v>
      </c>
      <c r="J10" s="9">
        <f>'Hypothèses'!$C$15</f>
        <v>180</v>
      </c>
      <c r="K10" s="10">
        <f>'Hypothèses'!$C$19</f>
        <v>300</v>
      </c>
      <c r="L10" s="10">
        <f>J10*K10</f>
        <v>54000</v>
      </c>
    </row>
    <row r="11" spans="1:12">
      <c r="A11" t="s">
        <v>56</v>
      </c>
      <c r="B11" t="s">
        <v>27</v>
      </c>
      <c r="C11" t="s">
        <v>292</v>
      </c>
      <c r="D11" s="10">
        <f>F9</f>
        <v>720000</v>
      </c>
      <c r="E11" s="13">
        <f>'Hypothèses'!$C$21/100</f>
        <v>0.08</v>
      </c>
      <c r="F11" s="10">
        <f>D11*E11</f>
        <v>57600</v>
      </c>
      <c r="G11" s="10">
        <f>I9</f>
        <v>720000</v>
      </c>
      <c r="H11" s="13">
        <f>'Hypothèses'!$C$21/100</f>
        <v>0.08</v>
      </c>
      <c r="I11" s="10">
        <f>G11*H11</f>
        <v>57600</v>
      </c>
      <c r="J11" s="10">
        <f>L9</f>
        <v>720000</v>
      </c>
      <c r="K11" s="13">
        <f>'Hypothèses'!$C$21/100</f>
        <v>0.08</v>
      </c>
      <c r="L11" s="10">
        <f>J11*K11</f>
        <v>57600</v>
      </c>
    </row>
    <row r="12" spans="1:12">
      <c r="A12" t="s">
        <v>308</v>
      </c>
      <c r="B12" t="s">
        <v>27</v>
      </c>
      <c r="C12" t="s">
        <v>309</v>
      </c>
      <c r="D12" s="10">
        <f>F9+F10+F11</f>
        <v>831600</v>
      </c>
      <c r="E12" s="13">
        <f>'Hypothèses'!$C$22/100</f>
        <v>0.12</v>
      </c>
      <c r="F12" s="10">
        <f>D12*E12</f>
        <v>99792</v>
      </c>
      <c r="G12" s="10">
        <f>I9+I10+I11</f>
        <v>831600</v>
      </c>
      <c r="H12" s="13">
        <f>'Hypothèses'!$C$22/100</f>
        <v>0.12</v>
      </c>
      <c r="I12" s="10">
        <f>G12*H12</f>
        <v>99792</v>
      </c>
      <c r="J12" s="10">
        <f>L9+L10+L11</f>
        <v>831600</v>
      </c>
      <c r="K12" s="13">
        <f>'Hypothèses'!$C$22/100</f>
        <v>0.12</v>
      </c>
      <c r="L12" s="10">
        <f>J12*K12</f>
        <v>99792</v>
      </c>
    </row>
    <row r="13" spans="1:12">
      <c r="A13" t="s">
        <v>128</v>
      </c>
      <c r="B13" t="s">
        <v>42</v>
      </c>
      <c r="C13" t="s">
        <v>310</v>
      </c>
      <c r="D13" s="9">
        <f>'Hypothèses'!$C$15</f>
        <v>180</v>
      </c>
      <c r="E13" s="10">
        <f>'Hypothèses'!$C$24*'Hypothèses'!$C$25/100</f>
        <v>75</v>
      </c>
      <c r="F13" s="10">
        <f>D13*E13</f>
        <v>13500</v>
      </c>
      <c r="G13" s="9">
        <f>'Hypothèses'!$C$15</f>
        <v>180</v>
      </c>
      <c r="H13" s="10">
        <f>'Hypothèses'!$C$24*'Hypothèses'!$C$25/100</f>
        <v>75</v>
      </c>
      <c r="I13" s="10">
        <f>G13*H13</f>
        <v>13500</v>
      </c>
      <c r="J13" s="9">
        <f>'Hypothèses'!$C$15</f>
        <v>180</v>
      </c>
      <c r="K13" s="10">
        <f>'Hypothèses'!$C$24*'Hypothèses'!$C$25/100</f>
        <v>75</v>
      </c>
      <c r="L13" s="10">
        <f>J13*K13</f>
        <v>13500</v>
      </c>
    </row>
    <row r="14" spans="1:12">
      <c r="A14" t="s">
        <v>66</v>
      </c>
      <c r="B14" t="s">
        <v>27</v>
      </c>
      <c r="C14" t="s">
        <v>292</v>
      </c>
      <c r="D14" s="10">
        <f>F9+F10</f>
        <v>774000</v>
      </c>
      <c r="E14" s="13">
        <f>'Hypothèses'!$C$26/100</f>
        <v>0.03</v>
      </c>
      <c r="F14" s="10">
        <f>D14*E14</f>
        <v>23220</v>
      </c>
      <c r="G14" s="10">
        <f>I9+I10</f>
        <v>774000</v>
      </c>
      <c r="H14" s="13">
        <f>'Hypothèses'!$C$26/100</f>
        <v>0.03</v>
      </c>
      <c r="I14" s="10">
        <f>G14*H14</f>
        <v>23220</v>
      </c>
      <c r="J14" s="10">
        <f>L9+L10</f>
        <v>774000</v>
      </c>
      <c r="K14" s="13">
        <f>'Hypothèses'!$C$26/100</f>
        <v>0.03</v>
      </c>
      <c r="L14" s="10">
        <f>J14*K14</f>
        <v>23220</v>
      </c>
    </row>
    <row r="15" spans="1:12">
      <c r="A15" t="s">
        <v>67</v>
      </c>
      <c r="B15" t="s">
        <v>27</v>
      </c>
      <c r="C15" t="s">
        <v>292</v>
      </c>
      <c r="D15" s="10">
        <f>F9+F10+F11</f>
        <v>831600</v>
      </c>
      <c r="E15" s="13">
        <f>'Hypothèses'!$C$27/100</f>
        <v>0.1</v>
      </c>
      <c r="F15" s="10">
        <f>D15*E15</f>
        <v>83160</v>
      </c>
      <c r="G15" s="10">
        <f>I9+I10+I11</f>
        <v>831600</v>
      </c>
      <c r="H15" s="13">
        <f>'Hypothèses'!$C$27/100</f>
        <v>0.1</v>
      </c>
      <c r="I15" s="10">
        <f>G15*H15</f>
        <v>83160</v>
      </c>
      <c r="J15" s="10">
        <f>L9+L10+L11</f>
        <v>831600</v>
      </c>
      <c r="K15" s="13">
        <f>'Hypothèses'!$C$27/100</f>
        <v>0.1</v>
      </c>
      <c r="L15" s="10">
        <f>J15*K15</f>
        <v>83160</v>
      </c>
    </row>
    <row r="16" spans="1:12">
      <c r="A16" t="s">
        <v>293</v>
      </c>
      <c r="B16" t="s">
        <v>27</v>
      </c>
      <c r="C16" t="s">
        <v>294</v>
      </c>
      <c r="D16" s="10">
        <f>F7+F8+0.5*(F9+F10+F11+F12+F14+F15)</f>
        <v>2009286</v>
      </c>
      <c r="E16" s="13">
        <f>'Hypothèses'!$C$30/100*'Hypothèses'!$C$32/12</f>
        <v>0.083333333333333</v>
      </c>
      <c r="F16" s="10">
        <f>D16*E16</f>
        <v>167440.5</v>
      </c>
      <c r="G16" s="10">
        <f>I7+I8+0.5*(I9+I10+I11+I12+I14+I15)</f>
        <v>2009286</v>
      </c>
      <c r="H16" s="13">
        <f>'Hypothèses'!$C$30/100*'Hypothèses'!$C$32/12</f>
        <v>0.083333333333333</v>
      </c>
      <c r="I16" s="10">
        <f>G16*H16</f>
        <v>167440.5</v>
      </c>
      <c r="J16" s="10">
        <f>L7+L8+0.5*(L9+L10+L11+L12+L14+L15)</f>
        <v>2009286</v>
      </c>
      <c r="K16" s="13">
        <f>'Hypothèses'!$C$30/100*'Hypothèses'!$C$32/12</f>
        <v>0.083333333333333</v>
      </c>
      <c r="L16" s="10">
        <f>J16*K16</f>
        <v>167440.5</v>
      </c>
    </row>
    <row r="17" spans="1:12">
      <c r="A17" t="s">
        <v>69</v>
      </c>
      <c r="B17" t="s">
        <v>27</v>
      </c>
      <c r="C17" t="s">
        <v>295</v>
      </c>
      <c r="D17" s="10">
        <f>F6</f>
        <v>2460300</v>
      </c>
      <c r="E17" s="13">
        <f>'Hypothèses'!$C$28/100</f>
        <v>0.03</v>
      </c>
      <c r="F17" s="10">
        <f>D17*E17</f>
        <v>73809</v>
      </c>
      <c r="G17" s="10">
        <f>I6</f>
        <v>3436750</v>
      </c>
      <c r="H17" s="13">
        <f>'Hypothèses'!$C$28/100</f>
        <v>0.03</v>
      </c>
      <c r="I17" s="10">
        <f>G17*H17</f>
        <v>103102.5</v>
      </c>
      <c r="J17" s="10">
        <f>L6</f>
        <v>3982500</v>
      </c>
      <c r="K17" s="13">
        <f>'Hypothèses'!$C$28/100</f>
        <v>0.03</v>
      </c>
      <c r="L17" s="10">
        <f>J17*K17</f>
        <v>119475</v>
      </c>
    </row>
    <row r="19" spans="1:12">
      <c r="A19" s="15" t="s">
        <v>296</v>
      </c>
      <c r="B19" s="16"/>
      <c r="C19" s="16"/>
      <c r="D19" s="16"/>
      <c r="E19" s="16"/>
      <c r="F19" s="17">
        <f>F7+F8+F9+F10+F11+F12+F13+F14+F15+F16+F17</f>
        <v>2782921.5</v>
      </c>
      <c r="G19" s="16"/>
      <c r="H19" s="16"/>
      <c r="I19" s="17">
        <f>I7+I8+I9+I10+I11+I12+I13+I14+I15+I16+I17</f>
        <v>2812215</v>
      </c>
      <c r="J19" s="16"/>
      <c r="K19" s="16"/>
      <c r="L19" s="17">
        <f>L7+L8+L9+L10+L11+L12+L13+L14+L15+L16+L17</f>
        <v>2828587.5</v>
      </c>
    </row>
    <row r="20" spans="1:12">
      <c r="A20" s="1" t="s">
        <v>297</v>
      </c>
      <c r="F20" s="10">
        <f>F6-(F7+F8+F9+F10+F11+F12+F13+F14+F15)</f>
        <v>-81372</v>
      </c>
      <c r="I20" s="10">
        <f>I6-(I7+I8+I9+I10+I11+I12+I13+I14+I15)</f>
        <v>895078</v>
      </c>
      <c r="L20" s="10">
        <f>L6-(L7+L8+L9+L10+L11+L12+L13+L14+L15)</f>
        <v>1440828</v>
      </c>
    </row>
    <row r="21" spans="1:12">
      <c r="A21" s="1" t="s">
        <v>249</v>
      </c>
      <c r="F21" s="12">
        <f>F6-F19</f>
        <v>-322621.5</v>
      </c>
      <c r="I21" s="12">
        <f>I6-I19</f>
        <v>624535</v>
      </c>
      <c r="L21" s="12">
        <f>L6-L19</f>
        <v>1153912.5</v>
      </c>
    </row>
    <row r="22" spans="1:12">
      <c r="A22" s="1" t="s">
        <v>298</v>
      </c>
      <c r="F22" s="14">
        <f>F21/F6</f>
        <v>-0.13113095963907</v>
      </c>
      <c r="I22" s="14">
        <f>I21/I6</f>
        <v>0.18172255764894</v>
      </c>
      <c r="L22" s="14">
        <f>L21/L6</f>
        <v>0.28974576271186</v>
      </c>
    </row>
    <row r="23" spans="1:12">
      <c r="A23" s="1" t="s">
        <v>299</v>
      </c>
      <c r="F23" s="10">
        <f>F7+(F21-'Hypothèses'!$C$33/100*F6)/((1+'Hypothèses'!$C$7/100)*(1+'Hypothèses'!$C$30/100*'Hypothèses'!$C$32/12))</f>
        <v>788832.051282051252201</v>
      </c>
      <c r="I23" s="10">
        <f>I7+(I21-'Hypothèses'!$C$33/100*I6)/((1+'Hypothèses'!$C$7/100)*(1+'Hypothèses'!$C$30/100*'Hypothèses'!$C$32/12))</f>
        <v>1473181.6239316239953</v>
      </c>
      <c r="L23" s="10">
        <f>L7+(L21-'Hypothèses'!$C$33/100*L6)/((1+'Hypothèses'!$C$7/100)*(1+'Hypothèses'!$C$30/100*'Hypothèses'!$C$32/12))</f>
        <v>1855673.076923076994717</v>
      </c>
    </row>
    <row r="24" spans="1:12">
      <c r="A24" s="1" t="s">
        <v>300</v>
      </c>
      <c r="F24" s="13">
        <f>F23/F7-1</f>
        <v>-0.42838257153475</v>
      </c>
      <c r="I24" s="13">
        <f>I23/I7-1</f>
        <v>0.067522915892481</v>
      </c>
      <c r="L24" s="13">
        <f>L23/L7-1</f>
        <v>0.34469063545151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264</v>
      </c>
    </row>
    <row r="2" spans="1:12" customHeight="1" ht="48">
      <c r="A2" s="7" t="s">
        <v>311</v>
      </c>
    </row>
    <row r="3" spans="1:12">
      <c r="D3" t="s">
        <v>277</v>
      </c>
      <c r="E3" s="8">
        <f>'Hypothèses'!$C$9</f>
        <v>8340</v>
      </c>
      <c r="G3" t="s">
        <v>277</v>
      </c>
      <c r="H3" s="8">
        <f>'Hypothèses'!$C$10</f>
        <v>11650</v>
      </c>
      <c r="J3" t="s">
        <v>277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276</v>
      </c>
      <c r="E4" s="3"/>
      <c r="F4" s="3"/>
      <c r="G4" s="3" t="s">
        <v>280</v>
      </c>
      <c r="H4" s="3"/>
      <c r="I4" s="3"/>
      <c r="J4" s="3" t="s">
        <v>281</v>
      </c>
      <c r="K4" s="3"/>
      <c r="L4" s="3"/>
    </row>
    <row r="5" spans="1:12">
      <c r="A5" s="3"/>
      <c r="B5" s="3"/>
      <c r="C5" s="3"/>
      <c r="D5" s="3" t="s">
        <v>278</v>
      </c>
      <c r="E5" s="3" t="s">
        <v>279</v>
      </c>
      <c r="F5" s="3" t="s">
        <v>186</v>
      </c>
      <c r="G5" s="3" t="s">
        <v>278</v>
      </c>
      <c r="H5" s="3" t="s">
        <v>279</v>
      </c>
      <c r="I5" s="3" t="s">
        <v>186</v>
      </c>
      <c r="J5" s="3" t="s">
        <v>278</v>
      </c>
      <c r="K5" s="3" t="s">
        <v>279</v>
      </c>
      <c r="L5" s="3" t="s">
        <v>186</v>
      </c>
    </row>
    <row r="6" spans="1:12">
      <c r="A6" t="s">
        <v>312</v>
      </c>
      <c r="B6" t="s">
        <v>42</v>
      </c>
      <c r="C6" t="s">
        <v>313</v>
      </c>
      <c r="D6" s="11">
        <f>'Hypothèses'!$C$13+'Hypothèses'!$C$14</f>
        <v>195</v>
      </c>
      <c r="E6" s="12">
        <f>'Hypothèses'!$C$9</f>
        <v>8340</v>
      </c>
      <c r="F6" s="12">
        <f>D6*E6</f>
        <v>1626300</v>
      </c>
      <c r="G6" s="11">
        <f>'Hypothèses'!$C$13+'Hypothèses'!$C$14</f>
        <v>195</v>
      </c>
      <c r="H6" s="12">
        <f>'Hypothèses'!$C$10</f>
        <v>11650</v>
      </c>
      <c r="I6" s="12">
        <f>G6*H6</f>
        <v>2271750</v>
      </c>
      <c r="J6" s="11">
        <f>'Hypothèses'!$C$13+'Hypothèses'!$C$14</f>
        <v>195</v>
      </c>
      <c r="K6" s="12">
        <f>'Hypothèses'!$C$11</f>
        <v>13500</v>
      </c>
      <c r="L6" s="12">
        <f>J6*K6</f>
        <v>2632500</v>
      </c>
    </row>
    <row r="7" spans="1:12">
      <c r="A7" t="s">
        <v>284</v>
      </c>
      <c r="B7" t="s">
        <v>285</v>
      </c>
      <c r="C7" t="s">
        <v>286</v>
      </c>
      <c r="D7" s="9">
        <f>1</f>
        <v>1</v>
      </c>
      <c r="E7" s="10">
        <f>'Hypothèses'!$C$6</f>
        <v>1380000</v>
      </c>
      <c r="F7" s="10">
        <f>D7*E7</f>
        <v>1380000</v>
      </c>
      <c r="G7" s="9">
        <f>1</f>
        <v>1</v>
      </c>
      <c r="H7" s="10">
        <f>'Hypothèses'!$C$6</f>
        <v>1380000</v>
      </c>
      <c r="I7" s="10">
        <f>G7*H7</f>
        <v>1380000</v>
      </c>
      <c r="J7" s="9">
        <f>1</f>
        <v>1</v>
      </c>
      <c r="K7" s="10">
        <f>'Hypothèses'!$C$6</f>
        <v>1380000</v>
      </c>
      <c r="L7" s="10">
        <f>J7*K7</f>
        <v>1380000</v>
      </c>
    </row>
    <row r="8" spans="1:12">
      <c r="A8" t="s">
        <v>287</v>
      </c>
      <c r="B8" t="s">
        <v>27</v>
      </c>
      <c r="C8" t="s">
        <v>288</v>
      </c>
      <c r="D8" s="10">
        <f>F7</f>
        <v>1380000</v>
      </c>
      <c r="E8" s="13">
        <f>'Hypothèses'!$C$7/100</f>
        <v>0.08</v>
      </c>
      <c r="F8" s="10">
        <f>D8*E8</f>
        <v>110400</v>
      </c>
      <c r="G8" s="10">
        <f>I7</f>
        <v>1380000</v>
      </c>
      <c r="H8" s="13">
        <f>'Hypothèses'!$C$7/100</f>
        <v>0.08</v>
      </c>
      <c r="I8" s="10">
        <f>G8*H8</f>
        <v>110400</v>
      </c>
      <c r="J8" s="10">
        <f>L7</f>
        <v>1380000</v>
      </c>
      <c r="K8" s="13">
        <f>'Hypothèses'!$C$7/100</f>
        <v>0.08</v>
      </c>
      <c r="L8" s="10">
        <f>J8*K8</f>
        <v>110400</v>
      </c>
    </row>
    <row r="9" spans="1:12">
      <c r="A9" t="s">
        <v>314</v>
      </c>
      <c r="B9" t="s">
        <v>42</v>
      </c>
      <c r="C9" t="s">
        <v>290</v>
      </c>
      <c r="D9" s="9">
        <f>'Hypothèses'!$C$13</f>
        <v>115</v>
      </c>
      <c r="E9" s="10">
        <f>'Hypothèses'!$C$17</f>
        <v>1500</v>
      </c>
      <c r="F9" s="10">
        <f>D9*E9</f>
        <v>172500</v>
      </c>
      <c r="G9" s="9">
        <f>'Hypothèses'!$C$13</f>
        <v>115</v>
      </c>
      <c r="H9" s="10">
        <f>'Hypothèses'!$C$17</f>
        <v>1500</v>
      </c>
      <c r="I9" s="10">
        <f>G9*H9</f>
        <v>172500</v>
      </c>
      <c r="J9" s="9">
        <f>'Hypothèses'!$C$13</f>
        <v>115</v>
      </c>
      <c r="K9" s="10">
        <f>'Hypothèses'!$C$17</f>
        <v>1500</v>
      </c>
      <c r="L9" s="10">
        <f>J9*K9</f>
        <v>172500</v>
      </c>
    </row>
    <row r="10" spans="1:12">
      <c r="A10" t="s">
        <v>304</v>
      </c>
      <c r="B10" t="s">
        <v>42</v>
      </c>
      <c r="C10" t="s">
        <v>305</v>
      </c>
      <c r="D10" s="9">
        <f>'Hypothèses'!$C$14</f>
        <v>80</v>
      </c>
      <c r="E10" s="10">
        <f>'Hypothèses'!$C$18</f>
        <v>4000</v>
      </c>
      <c r="F10" s="10">
        <f>D10*E10</f>
        <v>320000</v>
      </c>
      <c r="G10" s="9">
        <f>'Hypothèses'!$C$14</f>
        <v>80</v>
      </c>
      <c r="H10" s="10">
        <f>'Hypothèses'!$C$18</f>
        <v>4000</v>
      </c>
      <c r="I10" s="10">
        <f>G10*H10</f>
        <v>320000</v>
      </c>
      <c r="J10" s="9">
        <f>'Hypothèses'!$C$14</f>
        <v>80</v>
      </c>
      <c r="K10" s="10">
        <f>'Hypothèses'!$C$18</f>
        <v>4000</v>
      </c>
      <c r="L10" s="10">
        <f>J10*K10</f>
        <v>320000</v>
      </c>
    </row>
    <row r="11" spans="1:12">
      <c r="A11" t="s">
        <v>306</v>
      </c>
      <c r="B11" t="s">
        <v>42</v>
      </c>
      <c r="C11" t="s">
        <v>307</v>
      </c>
      <c r="D11" s="9">
        <f>'Hypothèses'!$C$14</f>
        <v>80</v>
      </c>
      <c r="E11" s="10">
        <f>'Hypothèses'!$C$19</f>
        <v>300</v>
      </c>
      <c r="F11" s="10">
        <f>D11*E11</f>
        <v>24000</v>
      </c>
      <c r="G11" s="9">
        <f>'Hypothèses'!$C$14</f>
        <v>80</v>
      </c>
      <c r="H11" s="10">
        <f>'Hypothèses'!$C$19</f>
        <v>300</v>
      </c>
      <c r="I11" s="10">
        <f>G11*H11</f>
        <v>24000</v>
      </c>
      <c r="J11" s="9">
        <f>'Hypothèses'!$C$14</f>
        <v>80</v>
      </c>
      <c r="K11" s="10">
        <f>'Hypothèses'!$C$19</f>
        <v>300</v>
      </c>
      <c r="L11" s="10">
        <f>J11*K11</f>
        <v>24000</v>
      </c>
    </row>
    <row r="12" spans="1:12">
      <c r="A12" t="s">
        <v>56</v>
      </c>
      <c r="B12" t="s">
        <v>27</v>
      </c>
      <c r="C12" t="s">
        <v>315</v>
      </c>
      <c r="D12" s="10">
        <f>F10</f>
        <v>320000</v>
      </c>
      <c r="E12" s="13">
        <f>'Hypothèses'!$C$21/100</f>
        <v>0.08</v>
      </c>
      <c r="F12" s="10">
        <f>D12*E12</f>
        <v>25600</v>
      </c>
      <c r="G12" s="10">
        <f>I10</f>
        <v>320000</v>
      </c>
      <c r="H12" s="13">
        <f>'Hypothèses'!$C$21/100</f>
        <v>0.08</v>
      </c>
      <c r="I12" s="10">
        <f>G12*H12</f>
        <v>25600</v>
      </c>
      <c r="J12" s="10">
        <f>L10</f>
        <v>320000</v>
      </c>
      <c r="K12" s="13">
        <f>'Hypothèses'!$C$21/100</f>
        <v>0.08</v>
      </c>
      <c r="L12" s="10">
        <f>J12*K12</f>
        <v>25600</v>
      </c>
    </row>
    <row r="13" spans="1:12">
      <c r="A13" t="s">
        <v>308</v>
      </c>
      <c r="B13" t="s">
        <v>27</v>
      </c>
      <c r="C13" t="s">
        <v>316</v>
      </c>
      <c r="D13" s="10">
        <f>F9+F10+F11+F12</f>
        <v>542100</v>
      </c>
      <c r="E13" s="13">
        <f>'Hypothèses'!$C$22/100</f>
        <v>0.12</v>
      </c>
      <c r="F13" s="10">
        <f>D13*E13</f>
        <v>65052</v>
      </c>
      <c r="G13" s="10">
        <f>I9+I10+I11+I12</f>
        <v>542100</v>
      </c>
      <c r="H13" s="13">
        <f>'Hypothèses'!$C$22/100</f>
        <v>0.12</v>
      </c>
      <c r="I13" s="10">
        <f>G13*H13</f>
        <v>65052</v>
      </c>
      <c r="J13" s="10">
        <f>L9+L10+L11+L12</f>
        <v>542100</v>
      </c>
      <c r="K13" s="13">
        <f>'Hypothèses'!$C$22/100</f>
        <v>0.12</v>
      </c>
      <c r="L13" s="10">
        <f>J13*K13</f>
        <v>65052</v>
      </c>
    </row>
    <row r="14" spans="1:12">
      <c r="A14" t="s">
        <v>128</v>
      </c>
      <c r="B14" t="s">
        <v>42</v>
      </c>
      <c r="C14" t="s">
        <v>310</v>
      </c>
      <c r="D14" s="9">
        <f>'Hypothèses'!$C$14</f>
        <v>80</v>
      </c>
      <c r="E14" s="10">
        <f>'Hypothèses'!$C$24*'Hypothèses'!$C$25/100</f>
        <v>75</v>
      </c>
      <c r="F14" s="10">
        <f>D14*E14</f>
        <v>6000</v>
      </c>
      <c r="G14" s="9">
        <f>'Hypothèses'!$C$14</f>
        <v>80</v>
      </c>
      <c r="H14" s="10">
        <f>'Hypothèses'!$C$24*'Hypothèses'!$C$25/100</f>
        <v>75</v>
      </c>
      <c r="I14" s="10">
        <f>G14*H14</f>
        <v>6000</v>
      </c>
      <c r="J14" s="9">
        <f>'Hypothèses'!$C$14</f>
        <v>80</v>
      </c>
      <c r="K14" s="10">
        <f>'Hypothèses'!$C$24*'Hypothèses'!$C$25/100</f>
        <v>75</v>
      </c>
      <c r="L14" s="10">
        <f>J14*K14</f>
        <v>6000</v>
      </c>
    </row>
    <row r="15" spans="1:12">
      <c r="A15" t="s">
        <v>66</v>
      </c>
      <c r="B15" t="s">
        <v>27</v>
      </c>
      <c r="C15" t="s">
        <v>292</v>
      </c>
      <c r="D15" s="10">
        <f>F9+F10+F11</f>
        <v>516500</v>
      </c>
      <c r="E15" s="13">
        <f>'Hypothèses'!$C$26/100</f>
        <v>0.03</v>
      </c>
      <c r="F15" s="10">
        <f>D15*E15</f>
        <v>15495</v>
      </c>
      <c r="G15" s="10">
        <f>I9+I10+I11</f>
        <v>516500</v>
      </c>
      <c r="H15" s="13">
        <f>'Hypothèses'!$C$26/100</f>
        <v>0.03</v>
      </c>
      <c r="I15" s="10">
        <f>G15*H15</f>
        <v>15495</v>
      </c>
      <c r="J15" s="10">
        <f>L9+L10+L11</f>
        <v>516500</v>
      </c>
      <c r="K15" s="13">
        <f>'Hypothèses'!$C$26/100</f>
        <v>0.03</v>
      </c>
      <c r="L15" s="10">
        <f>J15*K15</f>
        <v>15495</v>
      </c>
    </row>
    <row r="16" spans="1:12">
      <c r="A16" t="s">
        <v>67</v>
      </c>
      <c r="B16" t="s">
        <v>27</v>
      </c>
      <c r="C16" t="s">
        <v>292</v>
      </c>
      <c r="D16" s="10">
        <f>F9+F10+F11+F12</f>
        <v>542100</v>
      </c>
      <c r="E16" s="13">
        <f>'Hypothèses'!$C$27/100</f>
        <v>0.1</v>
      </c>
      <c r="F16" s="10">
        <f>D16*E16</f>
        <v>54210</v>
      </c>
      <c r="G16" s="10">
        <f>I9+I10+I11+I12</f>
        <v>542100</v>
      </c>
      <c r="H16" s="13">
        <f>'Hypothèses'!$C$27/100</f>
        <v>0.1</v>
      </c>
      <c r="I16" s="10">
        <f>G16*H16</f>
        <v>54210</v>
      </c>
      <c r="J16" s="10">
        <f>L9+L10+L11+L12</f>
        <v>542100</v>
      </c>
      <c r="K16" s="13">
        <f>'Hypothèses'!$C$27/100</f>
        <v>0.1</v>
      </c>
      <c r="L16" s="10">
        <f>J16*K16</f>
        <v>54210</v>
      </c>
    </row>
    <row r="17" spans="1:12">
      <c r="A17" t="s">
        <v>293</v>
      </c>
      <c r="B17" t="s">
        <v>27</v>
      </c>
      <c r="C17" t="s">
        <v>294</v>
      </c>
      <c r="D17" s="10">
        <f>F7+F8+0.5*(F9+F10+F11+F12+F13+F15+F16)</f>
        <v>1828828.5</v>
      </c>
      <c r="E17" s="13">
        <f>'Hypothèses'!$C$30/100*'Hypothèses'!$C$32/12</f>
        <v>0.083333333333333</v>
      </c>
      <c r="F17" s="10">
        <f>D17*E17</f>
        <v>152402.375</v>
      </c>
      <c r="G17" s="10">
        <f>I7+I8+0.5*(I9+I10+I11+I12+I13+I15+I16)</f>
        <v>1828828.5</v>
      </c>
      <c r="H17" s="13">
        <f>'Hypothèses'!$C$30/100*'Hypothèses'!$C$32/12</f>
        <v>0.083333333333333</v>
      </c>
      <c r="I17" s="10">
        <f>G17*H17</f>
        <v>152402.375</v>
      </c>
      <c r="J17" s="10">
        <f>L7+L8+0.5*(L9+L10+L11+L12+L13+L15+L16)</f>
        <v>1828828.5</v>
      </c>
      <c r="K17" s="13">
        <f>'Hypothèses'!$C$30/100*'Hypothèses'!$C$32/12</f>
        <v>0.083333333333333</v>
      </c>
      <c r="L17" s="10">
        <f>J17*K17</f>
        <v>152402.375</v>
      </c>
    </row>
    <row r="18" spans="1:12">
      <c r="A18" t="s">
        <v>69</v>
      </c>
      <c r="B18" t="s">
        <v>27</v>
      </c>
      <c r="C18" t="s">
        <v>295</v>
      </c>
      <c r="D18" s="10">
        <f>F6</f>
        <v>1626300</v>
      </c>
      <c r="E18" s="13">
        <f>'Hypothèses'!$C$28/100</f>
        <v>0.03</v>
      </c>
      <c r="F18" s="10">
        <f>D18*E18</f>
        <v>48789</v>
      </c>
      <c r="G18" s="10">
        <f>I6</f>
        <v>2271750</v>
      </c>
      <c r="H18" s="13">
        <f>'Hypothèses'!$C$28/100</f>
        <v>0.03</v>
      </c>
      <c r="I18" s="10">
        <f>G18*H18</f>
        <v>68152.5</v>
      </c>
      <c r="J18" s="10">
        <f>L6</f>
        <v>2632500</v>
      </c>
      <c r="K18" s="13">
        <f>'Hypothèses'!$C$28/100</f>
        <v>0.03</v>
      </c>
      <c r="L18" s="10">
        <f>J18*K18</f>
        <v>78975</v>
      </c>
    </row>
    <row r="20" spans="1:12">
      <c r="A20" s="15" t="s">
        <v>296</v>
      </c>
      <c r="B20" s="16"/>
      <c r="C20" s="16"/>
      <c r="D20" s="16"/>
      <c r="E20" s="16"/>
      <c r="F20" s="17">
        <f>F7+F8+F9+F10+F11+F12+F13+F14+F15+F16+F17+F18</f>
        <v>2374448.375</v>
      </c>
      <c r="G20" s="16"/>
      <c r="H20" s="16"/>
      <c r="I20" s="17">
        <f>I7+I8+I9+I10+I11+I12+I13+I14+I15+I16+I17+I18</f>
        <v>2393811.875</v>
      </c>
      <c r="J20" s="16"/>
      <c r="K20" s="16"/>
      <c r="L20" s="17">
        <f>L7+L8+L9+L10+L11+L12+L13+L14+L15+L16+L17+L18</f>
        <v>2404634.375</v>
      </c>
    </row>
    <row r="21" spans="1:12">
      <c r="A21" s="1" t="s">
        <v>297</v>
      </c>
      <c r="F21" s="10">
        <f>F6-(F7+F8+F9+F10+F11+F12+F13+F14+F15+F16)</f>
        <v>-546957</v>
      </c>
      <c r="I21" s="10">
        <f>I6-(I7+I8+I9+I10+I11+I12+I13+I14+I15+I16)</f>
        <v>98493</v>
      </c>
      <c r="L21" s="10">
        <f>L6-(L7+L8+L9+L10+L11+L12+L13+L14+L15+L16)</f>
        <v>459243</v>
      </c>
    </row>
    <row r="22" spans="1:12">
      <c r="A22" s="1" t="s">
        <v>249</v>
      </c>
      <c r="F22" s="12">
        <f>F6-F20</f>
        <v>-748148.375</v>
      </c>
      <c r="I22" s="12">
        <f>I6-I20</f>
        <v>-122061.875</v>
      </c>
      <c r="L22" s="12">
        <f>L6-L20</f>
        <v>227865.625</v>
      </c>
    </row>
    <row r="23" spans="1:12">
      <c r="A23" s="1" t="s">
        <v>298</v>
      </c>
      <c r="F23" s="14">
        <f>F22/F6</f>
        <v>-0.46003097521982</v>
      </c>
      <c r="I23" s="14">
        <f>I22/I6</f>
        <v>-0.053730329041488</v>
      </c>
      <c r="L23" s="14">
        <f>L22/L6</f>
        <v>0.086558641975309</v>
      </c>
    </row>
    <row r="24" spans="1:12">
      <c r="A24" s="1" t="s">
        <v>299</v>
      </c>
      <c r="F24" s="10">
        <f>F7+(F22-'Hypothèses'!$C$33/100*F6)/((1+'Hypothèses'!$C$7/100)*(1+'Hypothèses'!$C$30/100*'Hypothèses'!$C$32/12))</f>
        <v>532056.94444444437977</v>
      </c>
      <c r="I24" s="10">
        <f>I7+(I22-'Hypothèses'!$C$33/100*I6)/((1+'Hypothèses'!$C$7/100)*(1+'Hypothèses'!$C$30/100*'Hypothèses'!$C$32/12))</f>
        <v>984423.61111111100763</v>
      </c>
      <c r="L24" s="10">
        <f>L7+(L22-'Hypothèses'!$C$33/100*L6)/((1+'Hypothèses'!$C$7/100)*(1+'Hypothèses'!$C$30/100*'Hypothèses'!$C$32/12))</f>
        <v>1237256.94444444449618</v>
      </c>
    </row>
    <row r="25" spans="1:12">
      <c r="A25" s="1" t="s">
        <v>300</v>
      </c>
      <c r="F25" s="13">
        <f>F24/F7-1</f>
        <v>-0.61445148953301</v>
      </c>
      <c r="I25" s="13">
        <f>I24/I7-1</f>
        <v>-0.28664955716586</v>
      </c>
      <c r="L25" s="13">
        <f>L24/L7-1</f>
        <v>-0.10343699677939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2026-10-23T19:01:27+00:00</dcterms:created>
  <dcterms:modified xsi:type="dcterms:W3CDTF">2026-10-23T19:01:27+00:00</dcterms:modified>
  <dc:title>Untitled Spreadsheet</dc:title>
  <dc:description/>
  <dc:subject/>
  <cp:keywords/>
  <cp:category/>
</cp:coreProperties>
</file>