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<sst xmlns="http://schemas.openxmlformats.org/spreadsheetml/2006/main" uniqueCount="319">
  <si>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Synthèse du projet : construction neuve</t>
  </si>
  <si>
    <t>annonce 4113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</si>
  <si>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</si>
  <si>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</si>
  <si>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</si>
  <si>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</si>
  <si>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</si>
  <si>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</si>
  <si>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</si>
  <si>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</si>
  <si>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</si>
  <si>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</si>
  <si>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</si>
  <si>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</si>
  <si>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</si>
  <si>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</si>
  <si>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</si>
  <si>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</si>
  <si>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</si>
  <si>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4113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</si>
  <si>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</si>
  <si>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</si>
  <si>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</si>
  <si>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</si>
  <si>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</si>
  <si>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</si>
  <si>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</si>
  <si>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</si>
  <si>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</si>
  <si>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</si>
  <si>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</si>
  <si>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</si>
  <si>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</si>
  <si>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</si>
  <si>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</si>
  <si>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</si>
  <si>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</si>
  <si>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</si>
  <si>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</si>
  <si>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</si>
  <si>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</si>
  <si>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</si>
  <si>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</si>
  <si>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</si>
  <si>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140 m², 80 m²)</t>
  </si>
  <si>
    <t>Extension maximale</t>
  </si>
  <si>
    <t>Calcul PLU : emprise restante 140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</si>
  <si>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</si>
  <si>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</si>
  <si>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</si>
  <si>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</si>
  <si>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</si>
  <si>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</si>
  <si>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</si>
  <si>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61,3 %,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</si>
  <si>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</si>
  <si>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</si>
  <si>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</si>
  <si>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</si>
  <si>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</si>
  <si>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</si>
  <si>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</si>
  <si>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</si>
  <si>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</si>
  <si>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</si>
  <si>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</si>
  <si>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</si>
  <si>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</si>
  <si>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</si>
  <si>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</si>
  <si>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</si>
  <si>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</si>
  <si>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</si>
  <si>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</si>
  <si>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</si>
  <si>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</si>
  <si>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</si>
  <si>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</si>
  <si>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</si>
  <si>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</si>
  <si>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</si>
  <si>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</si>
  <si>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</si>
  <si>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</si>
  <si>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calculé : emprise 358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</si>
  <si>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</si>
  <si>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</si>
  <si>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</si>
  <si>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</si>
  <si>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</si>
  <si>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</si>
  <si>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</si>
  <si>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</si>
  <si>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</si>
  <si>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</si>
  <si>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</si>
  <si>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</si>
  <si>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</si>
  <si>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</si>
  <si>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</si>
  <si>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</si>
  <si>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</si>
  <si>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(4 000 000 €)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</si>
  <si>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</si>
  <si>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</si>
  <si>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</si>
  <si>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</si>
  <si>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</si>
  <si>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4462 €/m² TTC (base 2000 € HT/m² du département 06, palier de gamme × 1,30, pente 61 % × 1,30, VRD et TVA)</t>
  </si>
  <si>
    <t>Démolition et désamiantage</t>
  </si>
  <si>
    <t>Surface existante × 100 à 120 €/m² (+ 30 €/m² de désamiantage si bâti ancien)</t>
  </si>
  <si>
    <t>Piscine</t>
  </si>
  <si>
    <t>Villa haut de gamme (neuf à 15 268 €/m²) : piscine incluse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</si>
  <si>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</si>
  <si>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</si>
  <si>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</si>
  <si>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</si>
  <si>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</si>
  <si>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</si>
  <si>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</si>
  <si>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</si>
  <si>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</si>
  <si>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</si>
  <si>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</si>
  <si>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</si>
  <si>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</si>
  <si>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</si>
  <si>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</si>
  <si>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</si>
  <si>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</si>
  <si>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</si>
  <si>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</si>
  <si>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</si>
  <si>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</si>
  <si>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</si>
  <si>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</si>
  <si>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</si>
  <si>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</si>
  <si>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</si>
  <si>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</si>
  <si>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</si>
  <si>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</si>
  <si>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</si>
  <si>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</si>
  <si>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</si>
  <si>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</si>
  <si>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</si>
  <si>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</si>
  <si>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4113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</si>
  <si>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</si>
  <si>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</si>
  <si>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</si>
  <si>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</si>
  <si>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</si>
  <si>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</si>
  <si>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</si>
  <si>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</si>
  <si>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</si>
  <si>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</si>
  <si>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</si>
  <si>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</si>
  <si>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</si>
  <si>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</si>
  <si>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</si>
  <si>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</si>
  <si>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</si>
  <si>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</si>
  <si>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</si>
  <si>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</si>
  <si>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</si>
  <si>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</si>
  <si>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</si>
  <si>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</si>
  <si>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</si>
  <si>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</si>
  <si>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</si>
  <si>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</si>
  <si>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</si>
  <si>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</si>
  <si>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</si>
  <si>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</si>
  <si>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</si>
  <si>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</si>
  <si>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</si>
  <si>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</si>
  <si>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</si>
  <si>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</si>
  <si>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</si>
  <si>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</si>
  <si>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</si>
  <si>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</si>
  <si>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</si>
  <si>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</si>
  <si>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</si>
  <si>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</si>
  <si>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</si>
  <si>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</si>
  <si>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</si>
  <si>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</si>
  <si>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</si>
  <si>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</si>
  <si>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</si>
  <si>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</si>
  <si>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</si>
  <si>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</si>
  <si>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</si>
  <si>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</si>
  <si>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</si>
  <si>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</si>
  <si>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</si>
  <si>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</si>
  <si>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</si>
  <si>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</si>
  <si>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</si>
  <si>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</si>
  <si>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</si>
  <si>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</si>
  <si>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</si>
  <si>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</si>
  <si>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</si>
  <si>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</si>
  <si>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</si>
  <si>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</si>
  <si>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</si>
  <si>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</si>
  <si>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</si>
  <si>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</si>
  <si>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</si>
  <si>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</si>
  <si>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</si>
  <si>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</si>
  <si>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</si>
  <si>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</si>
  <si>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</si>
  <si>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</si>
  <si>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</si>
  <si>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</si>
  <si>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</si>
  <si>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</si>
  <si>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</si>
  <si>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</si>
  <si>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</si>
  <si>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</si>
  <si>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</si>
  <si>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</si>
  <si>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</si>
  <si>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</si>
  <si>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4113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</si>
  <si>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</si>
  <si>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</si>
  <si>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</si>
  <si>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</si>
  <si>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</si>
  <si>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</si>
  <si>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</si>
  <si>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</si>
  <si>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</si>
  <si>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</si>
  <si>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</si>
  <si>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</si>
  <si>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</si>
  <si>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140 m² (358 m² autorisés, moins piscine 30 m² et bâti existant 171 m² (BD TOPO) + 10 % de terrasses, soit 188 m²). 123 m² supposent 2 niveaux en gradins sur une pente de 61,3 % : coûteux, et l'ABF (site inscrit) peut réduire le projet.</t>
  </si>
  <si>
    <t>Surélévation</t>
  </si>
  <si>
    <t>Impossible</t>
  </si>
  <si>
    <t>Le bâti a déjà 2 niveaux et mesure 12,7 m pour 7 m à l'égout autorisés (8,50 m en hauteur frontale à Èze) : aucun niveau supplémentaire possible.</t>
  </si>
  <si>
    <t>non chiffré</t>
  </si>
  <si>
    <t>Extension + rénovation</t>
  </si>
  <si>
    <t>Extension prudente de 80 m² de plain-pied et rénovation lourde des 402 m² existants. Reste soumis à l'avis de l'ABF (site inscrit), mais sans gradins.</t>
  </si>
  <si>
    <t>Division parcellaire</t>
  </si>
  <si>
    <t>Unité foncière de 1 195 m², sous le seuil de 800 m² retenu pour détacher un lot : avec emprise 30 %, pleine terre 45 %, reculs de 3 m et pente de 61,3 %, le lot détaché serait inférieur à 300 m² et la maison existante ne respecterait plus les reculs.</t>
  </si>
  <si>
    <t>Démolition-reconstruction (neuf)</t>
  </si>
  <si>
    <t>Villa neuve de 525 m² de plancher, soit 499 m² habitables vendus (maximum PLU : emprise 358 m², 2 niveaux, stationnement), vendue au prix du neuf haut de gamme. Bilan complet : TVA, financement participatif et impôt sur les sociétés. En site inscrit, la démolition exige un permis de démolir et l'avis de l'ABF ; sur une pente de 61,3 %,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</si>
  <si>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</si>
  <si>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</si>
  <si>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</si>
  <si>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</si>
  <si>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</si>
  <si>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</si>
  <si>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</si>
  <si>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</si>
  <si>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</si>
  <si>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</si>
  <si>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</si>
  <si>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</si>
  <si>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</si>
  <si>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</si>
  <si>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</si>
  <si>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</si>
  <si>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</si>
  <si>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</si>
  <si>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</si>
  <si>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</si>
  <si>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</si>
  <si>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</si>
  <si>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</si>
  <si>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</si>
  <si>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</si>
  <si>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</si>
  <si>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</si>
  <si>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</si>
  <si>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</si>
  <si>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</si>
  <si>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</si>
  <si>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140 m² (358 m² autorisés, moins piscine 30 m² et bâti existant 171 m² (BD TOPO) + 10 % de terrasses, soit 188 m²). 123 m² supposent 2 niveaux en gradins sur une pente de 61,3 %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</si>
  <si>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</si>
  <si>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</si>
  <si>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</si>
  <si>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</si>
  <si>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</si>
  <si>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61,3 %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</si>
  <si>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</si>
  <si>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</si>
  <si>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</si>
  <si>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80 m² de plain-pied et rénovation lourde des 402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</si>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</sst>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7614915</v>
      </c>
      <c r="E5" s="35">
        <f>Bilan!B25</f>
        <v>6874550</v>
      </c>
      <c r="H5" s="35">
        <f>Bilan!B34</f>
        <v>1214608.97500000009313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-1251138.14166666707024</v>
      </c>
      <c r="E9" s="36">
        <f>Bilan!B46</f>
        <v>-0.19716119877898</v>
      </c>
      <c r="H9" s="36">
        <f>Bilan!B47</f>
        <v>-0.19603274294108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1031182.5</v>
      </c>
      <c r="E13" s="36">
        <f>Bilan!B48</f>
        <v>-1.21330428092667</v>
      </c>
      <c r="H13" s="35">
        <f>MIN('Trésorerie'!E35:AN35)</f>
        <v>-219955.64166666672099</v>
      </c>
    </row>
    <row r="17" spans="1:9">
      <c r="A17" s="1" t="s">
        <v>11</v>
      </c>
    </row>
    <row r="18" spans="1:9">
      <c r="B18" t="s">
        <v>12</v>
      </c>
      <c r="C18" s="10">
        <f>'Hypothèses'!$C$44</f>
        <v>3856000</v>
      </c>
    </row>
    <row r="19" spans="1:9">
      <c r="B19" t="s">
        <v>13</v>
      </c>
      <c r="C19" s="22">
        <f>Bilan!B40</f>
        <v>498.75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1441000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4000000.0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402</v>
      </c>
      <c r="D13" t="s">
        <v>28</v>
      </c>
    </row>
    <row r="14" spans="1:4">
      <c r="A14" t="s">
        <v>43</v>
      </c>
      <c r="B14" t="s">
        <v>42</v>
      </c>
      <c r="C14" s="6">
        <v>80</v>
      </c>
      <c r="D14" t="s">
        <v>44</v>
      </c>
    </row>
    <row r="15" spans="1:4">
      <c r="A15" t="s">
        <v>45</v>
      </c>
      <c r="B15" t="s">
        <v>42</v>
      </c>
      <c r="C15" s="6">
        <v>123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525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3856000</v>
      </c>
      <c r="D44" t="s">
        <v>102</v>
      </c>
    </row>
    <row r="45" spans="1:4">
      <c r="A45" t="s">
        <v>103</v>
      </c>
      <c r="B45" t="s">
        <v>27</v>
      </c>
      <c r="C45" s="5">
        <v>161000</v>
      </c>
      <c r="D45" t="s">
        <v>104</v>
      </c>
    </row>
    <row r="46" spans="1:4">
      <c r="A46" t="s">
        <v>105</v>
      </c>
      <c r="B46" t="s">
        <v>27</v>
      </c>
      <c r="C46" s="5">
        <v>39000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1441000</v>
      </c>
      <c r="D48" t="s">
        <v>108</v>
      </c>
    </row>
    <row r="49" spans="1:4">
      <c r="A49" t="s">
        <v>109</v>
      </c>
      <c r="B49" t="s">
        <v>27</v>
      </c>
      <c r="C49" s="5">
        <v>524000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39000</v>
      </c>
      <c r="D51" t="s">
        <v>114</v>
      </c>
    </row>
    <row r="52" spans="1:4">
      <c r="A52" t="s">
        <v>115</v>
      </c>
      <c r="B52" t="s">
        <v>27</v>
      </c>
      <c r="C52" s="5">
        <v>105000</v>
      </c>
      <c r="D52" t="s">
        <v>114</v>
      </c>
    </row>
    <row r="53" spans="1:4">
      <c r="A53" t="s">
        <v>116</v>
      </c>
      <c r="B53" t="s">
        <v>27</v>
      </c>
      <c r="C53" s="5">
        <v>131000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190000</v>
      </c>
      <c r="D57" t="s">
        <v>114</v>
      </c>
    </row>
    <row r="58" spans="1:4">
      <c r="A58" t="s">
        <v>124</v>
      </c>
      <c r="B58" t="s">
        <v>27</v>
      </c>
      <c r="C58" s="5">
        <v>72000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26000</v>
      </c>
      <c r="D60" t="s">
        <v>129</v>
      </c>
    </row>
    <row r="61" spans="1:4">
      <c r="A61" t="s">
        <v>130</v>
      </c>
      <c r="B61" t="s">
        <v>27</v>
      </c>
      <c r="C61" s="5">
        <v>43000</v>
      </c>
      <c r="D61" t="s">
        <v>131</v>
      </c>
    </row>
    <row r="62" spans="1:4">
      <c r="A62" t="s">
        <v>132</v>
      </c>
      <c r="B62" t="s">
        <v>27</v>
      </c>
      <c r="C62" s="5">
        <v>15000</v>
      </c>
      <c r="D62" t="s">
        <v>133</v>
      </c>
    </row>
    <row r="63" spans="1:4">
      <c r="A63" s="4" t="s">
        <v>134</v>
      </c>
      <c r="B63" s="4"/>
      <c r="C63" s="4"/>
      <c r="D63" s="4"/>
    </row>
    <row r="64" spans="1:4">
      <c r="A64" t="s">
        <v>135</v>
      </c>
      <c r="B64" t="s">
        <v>30</v>
      </c>
      <c r="C64" s="6">
        <v>9</v>
      </c>
      <c r="D64" t="s">
        <v>136</v>
      </c>
    </row>
    <row r="65" spans="1:4">
      <c r="A65" t="s">
        <v>137</v>
      </c>
      <c r="B65" t="s">
        <v>77</v>
      </c>
      <c r="C65" s="6">
        <v>20</v>
      </c>
      <c r="D65" t="s">
        <v>138</v>
      </c>
    </row>
    <row r="66" spans="1:4">
      <c r="A66" t="s">
        <v>139</v>
      </c>
      <c r="B66" t="s">
        <v>30</v>
      </c>
      <c r="C66" s="6">
        <v>15</v>
      </c>
      <c r="D66" t="s">
        <v>8</v>
      </c>
    </row>
    <row r="67" spans="1:4">
      <c r="A67" t="s">
        <v>140</v>
      </c>
      <c r="B67" t="s">
        <v>30</v>
      </c>
      <c r="C67" s="6">
        <v>4.7</v>
      </c>
      <c r="D67" t="s">
        <v>141</v>
      </c>
    </row>
    <row r="68" spans="1:4">
      <c r="A68" t="s">
        <v>142</v>
      </c>
      <c r="B68" t="s">
        <v>27</v>
      </c>
      <c r="C68" s="5">
        <v>15000</v>
      </c>
      <c r="D68" t="s">
        <v>143</v>
      </c>
    </row>
    <row r="69" spans="1:4">
      <c r="A69" s="4" t="s">
        <v>144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145</v>
      </c>
    </row>
    <row r="71" spans="1:4">
      <c r="A71" t="s">
        <v>146</v>
      </c>
      <c r="B71" t="s">
        <v>30</v>
      </c>
      <c r="C71" s="6">
        <v>25</v>
      </c>
      <c r="D7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148</v>
      </c>
    </row>
    <row r="2" spans="1:4">
      <c r="A2" t="s">
        <v>149</v>
      </c>
    </row>
    <row r="4" spans="1:4">
      <c r="A4" s="3" t="s">
        <v>21</v>
      </c>
      <c r="B4" s="3" t="s">
        <v>150</v>
      </c>
      <c r="C4" s="3" t="s">
        <v>151</v>
      </c>
      <c r="D4" s="3" t="s">
        <v>152</v>
      </c>
    </row>
    <row r="5" spans="1:4">
      <c r="A5" s="4" t="s">
        <v>153</v>
      </c>
      <c r="B5" s="19"/>
      <c r="C5" s="19"/>
      <c r="D5" s="4"/>
    </row>
    <row r="6" spans="1:4">
      <c r="A6" t="s">
        <v>154</v>
      </c>
      <c r="B6" s="10">
        <f>'Hypothèses'!$C$44</f>
        <v>3856000</v>
      </c>
      <c r="C6" s="10">
        <f>B6</f>
        <v>3856000</v>
      </c>
      <c r="D6" t="s">
        <v>155</v>
      </c>
    </row>
    <row r="7" spans="1:4">
      <c r="A7" t="s">
        <v>156</v>
      </c>
      <c r="B7" s="10">
        <f>'Hypothèses'!$C$45</f>
        <v>161000</v>
      </c>
      <c r="C7" s="10">
        <f>IF('Hypothèses'!$C$42&gt;=0.5,B7,B7/(1+('Hypothèses'!$C$41/100)))</f>
        <v>134166.66666666668607</v>
      </c>
    </row>
    <row r="8" spans="1:4">
      <c r="A8" t="s">
        <v>105</v>
      </c>
      <c r="B8" s="10">
        <f>'Hypothèses'!$C$46</f>
        <v>39000</v>
      </c>
      <c r="C8" s="10">
        <f>B8</f>
        <v>39000</v>
      </c>
      <c r="D8" t="s">
        <v>155</v>
      </c>
    </row>
    <row r="9" spans="1:4">
      <c r="A9" s="4" t="s">
        <v>157</v>
      </c>
      <c r="B9" s="19"/>
      <c r="C9" s="19"/>
      <c r="D9" s="4"/>
    </row>
    <row r="10" spans="1:4">
      <c r="A10" t="s">
        <v>15</v>
      </c>
      <c r="B10" s="10">
        <f>'Hypothèses'!$C$48</f>
        <v>1441000</v>
      </c>
      <c r="C10" s="10">
        <f>IF('Hypothèses'!$C$42&gt;=0.5,B10,B10/(1+('Hypothèses'!$C$41/100)))</f>
        <v>1200833.33333333348855</v>
      </c>
    </row>
    <row r="11" spans="1:4">
      <c r="A11" t="s">
        <v>109</v>
      </c>
      <c r="B11" s="10">
        <f>'Hypothèses'!$C$49</f>
        <v>524000</v>
      </c>
      <c r="C11" s="10">
        <f>IF('Hypothèses'!$C$42&gt;=0.5,B11,B11/(1+('Hypothèses'!$C$41/100)))</f>
        <v>436666.66666666668607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39000</v>
      </c>
      <c r="C13" s="10">
        <f>IF('Hypothèses'!$C$42&gt;=0.5,B13,B13/(1+('Hypothèses'!$C$41/100)))</f>
        <v>32500</v>
      </c>
    </row>
    <row r="14" spans="1:4">
      <c r="A14" t="s">
        <v>115</v>
      </c>
      <c r="B14" s="10">
        <f>'Hypothèses'!$C$52</f>
        <v>105000</v>
      </c>
      <c r="C14" s="10">
        <f>IF('Hypothèses'!$C$42&gt;=0.5,B14,B14/(1+('Hypothèses'!$C$41/100)))</f>
        <v>87500</v>
      </c>
    </row>
    <row r="15" spans="1:4">
      <c r="A15" t="s">
        <v>116</v>
      </c>
      <c r="B15" s="10">
        <f>'Hypothèses'!$C$53</f>
        <v>131000</v>
      </c>
      <c r="C15" s="10">
        <f>IF('Hypothèses'!$C$42&gt;=0.5,B15,B15/(1+('Hypothèses'!$C$41/100)))</f>
        <v>109166.66666666667152</v>
      </c>
    </row>
    <row r="16" spans="1:4">
      <c r="A16" t="s">
        <v>158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159</v>
      </c>
      <c r="B17" s="10">
        <f>('Hypothèses'!$C$48+'Hypothèses'!$C$49)*'Hypothèses'!$C$55/100</f>
        <v>137550</v>
      </c>
      <c r="C17" s="10">
        <f>IF('Hypothèses'!$C$42&gt;=0.5,B17,B17/(1+('Hypothèses'!$C$41/100)))</f>
        <v>114625</v>
      </c>
      <c r="D17" t="s">
        <v>160</v>
      </c>
    </row>
    <row r="18" spans="1:4">
      <c r="A18" s="4" t="s">
        <v>161</v>
      </c>
      <c r="B18" s="19"/>
      <c r="C18" s="19"/>
      <c r="D18" s="4"/>
    </row>
    <row r="19" spans="1:4">
      <c r="A19" t="s">
        <v>123</v>
      </c>
      <c r="B19" s="10">
        <f>'Hypothèses'!$C$57</f>
        <v>190000</v>
      </c>
      <c r="C19" s="10">
        <f>IF('Hypothèses'!$C$42&gt;=0.5,B19,B19/(1+('Hypothèses'!$C$41/100)))</f>
        <v>158333.33333333334303</v>
      </c>
    </row>
    <row r="20" spans="1:4">
      <c r="A20" t="s">
        <v>124</v>
      </c>
      <c r="B20" s="10">
        <f>'Hypothèses'!$C$58</f>
        <v>72000</v>
      </c>
      <c r="C20" s="10">
        <f>IF('Hypothèses'!$C$42&gt;=0.5,B20,B20/(1+('Hypothèses'!$C$41/100)))</f>
        <v>60000</v>
      </c>
    </row>
    <row r="21" spans="1:4">
      <c r="A21" t="s">
        <v>162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26000</v>
      </c>
      <c r="C22" s="10">
        <f>B22</f>
        <v>26000</v>
      </c>
      <c r="D22" t="s">
        <v>155</v>
      </c>
    </row>
    <row r="23" spans="1:4">
      <c r="A23" t="s">
        <v>130</v>
      </c>
      <c r="B23" s="10">
        <f>'Hypothèses'!$C$61</f>
        <v>43000</v>
      </c>
      <c r="C23" s="10">
        <f>IF('Hypothèses'!$C$42&gt;=0.5,B23,B23/(1+('Hypothèses'!$C$41/100)))</f>
        <v>35833.33333333333576</v>
      </c>
    </row>
    <row r="24" spans="1:4">
      <c r="A24" t="s">
        <v>163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164</v>
      </c>
      <c r="B25" s="20">
        <f>SUM(B5:B24)</f>
        <v>6874550</v>
      </c>
      <c r="C25" s="20">
        <f>SUM(C5:C24)</f>
        <v>6382291.66666666697711</v>
      </c>
      <c r="D25" s="16"/>
    </row>
    <row r="26" spans="1:4">
      <c r="B26" s="10"/>
      <c r="C26" s="10"/>
    </row>
    <row r="27" spans="1:4">
      <c r="A27" s="4" t="s">
        <v>165</v>
      </c>
      <c r="B27" s="19"/>
      <c r="C27" s="19"/>
      <c r="D27" s="4"/>
    </row>
    <row r="28" spans="1:4">
      <c r="A28" t="s">
        <v>166</v>
      </c>
      <c r="B28" s="10">
        <f>B25</f>
        <v>6874550</v>
      </c>
      <c r="C28" s="10"/>
    </row>
    <row r="29" spans="1:4">
      <c r="A29" t="s">
        <v>8</v>
      </c>
      <c r="B29" s="10">
        <f>B28*'Hypothèses'!$C$66/100</f>
        <v>1031182.5</v>
      </c>
      <c r="C29" s="10"/>
    </row>
    <row r="30" spans="1:4">
      <c r="A30" t="s">
        <v>167</v>
      </c>
      <c r="B30" s="10">
        <f>B28-B29</f>
        <v>5843367.5</v>
      </c>
      <c r="C30" s="10"/>
    </row>
    <row r="31" spans="1:4">
      <c r="A31" t="s">
        <v>168</v>
      </c>
      <c r="B31" s="10">
        <f>B30*'Hypothèses'!$C$64/100*'Hypothèses'!$C$65/12</f>
        <v>876505.125</v>
      </c>
      <c r="C31" s="10"/>
    </row>
    <row r="32" spans="1:4">
      <c r="A32" t="s">
        <v>169</v>
      </c>
      <c r="B32" s="10">
        <f>B28*'Hypothèses'!$C$67/100</f>
        <v>323103.84999999997672</v>
      </c>
      <c r="C32" s="10"/>
    </row>
    <row r="33" spans="1:4">
      <c r="A33" t="s">
        <v>142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1214608.97500000009313</v>
      </c>
      <c r="C34" s="10"/>
    </row>
    <row r="35" spans="1:4">
      <c r="B35" s="10"/>
      <c r="C35" s="10"/>
    </row>
    <row r="36" spans="1:4">
      <c r="A36" s="4" t="s">
        <v>170</v>
      </c>
      <c r="B36" s="19"/>
      <c r="C36" s="19"/>
      <c r="D36" s="4"/>
    </row>
    <row r="37" spans="1:4">
      <c r="A37" t="s">
        <v>2</v>
      </c>
      <c r="B37" s="10">
        <f>B40*'Hypothèses'!$C$38</f>
        <v>7614915</v>
      </c>
      <c r="C37" s="10"/>
      <c r="D37" t="s">
        <v>171</v>
      </c>
    </row>
    <row r="38" spans="1:4">
      <c r="A38" t="s">
        <v>172</v>
      </c>
      <c r="B38" s="10">
        <f>IF('Hypothèses'!$C$42&gt;=0.5,B37-(B37-B6)*('Hypothèses'!$C$40/100)/(1+('Hypothèses'!$C$40/100)),B37/(1+('Hypothèses'!$C$40/100)))</f>
        <v>6345762.5</v>
      </c>
      <c r="C38" s="10"/>
      <c r="D38" t="s">
        <v>173</v>
      </c>
    </row>
    <row r="39" spans="1:4">
      <c r="A39" t="s">
        <v>174</v>
      </c>
      <c r="B39" s="8">
        <f>B38/B40</f>
        <v>12723.33333333333394</v>
      </c>
      <c r="C39" s="10"/>
    </row>
    <row r="40" spans="1:4">
      <c r="A40" t="s">
        <v>175</v>
      </c>
      <c r="B40" s="22">
        <f>'Hypothèses'!$C$35*'Hypothèses'!$C$36/100</f>
        <v>498.75</v>
      </c>
      <c r="C40" s="10"/>
      <c r="D40" t="s">
        <v>176</v>
      </c>
    </row>
    <row r="41" spans="1:4">
      <c r="A41" s="4" t="s">
        <v>177</v>
      </c>
      <c r="B41" s="19"/>
      <c r="C41" s="19"/>
      <c r="D41" s="4"/>
    </row>
    <row r="42" spans="1:4">
      <c r="A42" t="s">
        <v>178</v>
      </c>
      <c r="B42" s="10">
        <f>B38-C25</f>
        <v>-36529.16666666697711</v>
      </c>
      <c r="C42" s="10"/>
    </row>
    <row r="43" spans="1:4">
      <c r="A43" t="s">
        <v>179</v>
      </c>
      <c r="B43" s="10">
        <f>B42-B34</f>
        <v>-1251138.14166666707024</v>
      </c>
      <c r="C43" s="10"/>
    </row>
    <row r="44" spans="1:4">
      <c r="A44" t="s">
        <v>180</v>
      </c>
      <c r="B44" s="10">
        <f>MAX(0,B43*('Hypothèses'!$C$71/100))</f>
        <v>0</v>
      </c>
      <c r="C44" s="10"/>
    </row>
    <row r="45" spans="1:4">
      <c r="A45" s="18" t="s">
        <v>5</v>
      </c>
      <c r="B45" s="21">
        <f>B43-B44</f>
        <v>-1251138.14166666707024</v>
      </c>
    </row>
    <row r="46" spans="1:4">
      <c r="A46" t="s">
        <v>181</v>
      </c>
      <c r="B46" s="13">
        <f>B45/B38</f>
        <v>-0.19716119877898</v>
      </c>
      <c r="D46" t="s">
        <v>182</v>
      </c>
    </row>
    <row r="47" spans="1:4">
      <c r="A47" t="s">
        <v>183</v>
      </c>
      <c r="B47" s="13">
        <f>B45/C25</f>
        <v>-0.19603274294108</v>
      </c>
    </row>
    <row r="48" spans="1:4">
      <c r="A48" t="s">
        <v>9</v>
      </c>
      <c r="B48" s="13">
        <f>B45/B29</f>
        <v>-1.21330428092667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184</v>
      </c>
    </row>
    <row r="2" spans="1:40">
      <c r="A2" t="s">
        <v>185</v>
      </c>
    </row>
    <row r="4" spans="1:40">
      <c r="A4" s="3" t="s">
        <v>21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  <c r="N4" s="3" t="s">
        <v>198</v>
      </c>
      <c r="O4" s="3" t="s">
        <v>199</v>
      </c>
      <c r="P4" s="3" t="s">
        <v>200</v>
      </c>
      <c r="Q4" s="3" t="s">
        <v>201</v>
      </c>
      <c r="R4" s="3" t="s">
        <v>202</v>
      </c>
      <c r="S4" s="3" t="s">
        <v>203</v>
      </c>
      <c r="T4" s="3" t="s">
        <v>204</v>
      </c>
      <c r="U4" s="3" t="s">
        <v>205</v>
      </c>
      <c r="V4" s="3" t="s">
        <v>206</v>
      </c>
      <c r="W4" s="3" t="s">
        <v>207</v>
      </c>
      <c r="X4" s="3" t="s">
        <v>208</v>
      </c>
      <c r="Y4" s="3" t="s">
        <v>209</v>
      </c>
      <c r="Z4" s="3" t="s">
        <v>210</v>
      </c>
      <c r="AA4" s="3" t="s">
        <v>211</v>
      </c>
      <c r="AB4" s="3" t="s">
        <v>212</v>
      </c>
      <c r="AC4" s="3" t="s">
        <v>213</v>
      </c>
      <c r="AD4" s="3" t="s">
        <v>214</v>
      </c>
      <c r="AE4" s="3" t="s">
        <v>215</v>
      </c>
      <c r="AF4" s="3" t="s">
        <v>216</v>
      </c>
      <c r="AG4" s="3" t="s">
        <v>217</v>
      </c>
      <c r="AH4" s="3" t="s">
        <v>218</v>
      </c>
      <c r="AI4" s="3" t="s">
        <v>219</v>
      </c>
      <c r="AJ4" s="3" t="s">
        <v>220</v>
      </c>
      <c r="AK4" s="3" t="s">
        <v>221</v>
      </c>
      <c r="AL4" s="3" t="s">
        <v>222</v>
      </c>
      <c r="AM4" s="3" t="s">
        <v>223</v>
      </c>
      <c r="AN4" s="3" t="s">
        <v>224</v>
      </c>
    </row>
    <row r="5" spans="1:40">
      <c r="A5" s="4" t="s">
        <v>225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1031182.5</v>
      </c>
      <c r="E6" s="23">
        <f>IF(AND(1&gt;=$B6,1&lt;=$C6),$D6/($C6-$B6+1),0)</f>
        <v>1031182.5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226</v>
      </c>
      <c r="B7" s="26">
        <v>1</v>
      </c>
      <c r="C7" s="26">
        <v>1</v>
      </c>
      <c r="D7" s="23">
        <f>Bilan!B30</f>
        <v>5843367.5</v>
      </c>
      <c r="E7" s="23">
        <f>IF(AND(1&gt;=$B7,1&lt;=$C7),$D7/($C7-$B7+1),0)</f>
        <v>5843367.5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227</v>
      </c>
      <c r="B8" s="27"/>
      <c r="C8" s="27"/>
      <c r="D8" s="23">
        <f>Bilan!B37</f>
        <v>7614915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7614915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228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31916.66666666666788</v>
      </c>
      <c r="G9" s="23">
        <f>-(F13+F15+F16+F17+F18+F19+F20+F21+F22+F23+F25+F26+F27+F28)*('Hypothèses'!$C$41/100)/(1+('Hypothèses'!$C$41/100))*IF('Hypothèses'!$C$42&gt;=0.5,0,1)</f>
        <v>99583.33333333334303</v>
      </c>
      <c r="H9" s="23">
        <f>-(G13+G15+G16+G17+G18+G19+G20+G21+G22+G23+G25+G26+G27+G28)*('Hypothèses'!$C$41/100)/(1+('Hypothèses'!$C$41/100))*IF('Hypothèses'!$C$42&gt;=0.5,0,1)</f>
        <v>19026.5625</v>
      </c>
      <c r="I9" s="23">
        <f>-(H13+H15+H16+H17+H18+H19+H20+H21+H22+H23+H25+H26+H27+H28)*('Hypothèses'!$C$41/100)/(1+('Hypothèses'!$C$41/100))*IF('Hypothèses'!$C$42&gt;=0.5,0,1)</f>
        <v>20137.67361111111313</v>
      </c>
      <c r="J9" s="23">
        <f>-(I13+I15+I16+I17+I18+I19+I20+I21+I22+I23+I25+I26+I27+I28)*('Hypothèses'!$C$41/100)/(1+('Hypothèses'!$C$41/100))*IF('Hypothèses'!$C$42&gt;=0.5,0,1)</f>
        <v>20137.67361111111313</v>
      </c>
      <c r="K9" s="23">
        <f>-(J13+J15+J16+J17+J18+J19+J20+J21+J22+J23+J25+J26+J27+J28)*('Hypothèses'!$C$41/100)/(1+('Hypothèses'!$C$41/100))*IF('Hypothèses'!$C$42&gt;=0.5,0,1)</f>
        <v>20137.67361111111313</v>
      </c>
      <c r="L9" s="23">
        <f>-(K13+K15+K16+K17+K18+K19+K20+K21+K22+K23+K25+K26+K27+K28)*('Hypothèses'!$C$41/100)/(1+('Hypothèses'!$C$41/100))*IF('Hypothèses'!$C$42&gt;=0.5,0,1)</f>
        <v>19026.5625</v>
      </c>
      <c r="M9" s="23">
        <f>-(L13+L15+L16+L17+L18+L19+L20+L21+L22+L23+L25+L26+L27+L28)*('Hypothèses'!$C$41/100)/(1+('Hypothèses'!$C$41/100))*IF('Hypothèses'!$C$42&gt;=0.5,0,1)</f>
        <v>19026.5625</v>
      </c>
      <c r="N9" s="23">
        <f>-(M13+M15+M16+M17+M18+M19+M20+M21+M22+M23+M25+M26+M27+M28)*('Hypothèses'!$C$41/100)/(1+('Hypothèses'!$C$41/100))*IF('Hypothèses'!$C$42&gt;=0.5,0,1)</f>
        <v>19026.5625</v>
      </c>
      <c r="O9" s="23">
        <f>-(N13+N15+N16+N17+N18+N19+N20+N21+N22+N23+N25+N26+N27+N28)*('Hypothèses'!$C$41/100)/(1+('Hypothèses'!$C$41/100))*IF('Hypothèses'!$C$42&gt;=0.5,0,1)</f>
        <v>19026.5625</v>
      </c>
      <c r="P9" s="23">
        <f>-(O13+O15+O16+O17+O18+O19+O20+O21+O22+O23+O25+O26+O27+O28)*('Hypothèses'!$C$41/100)/(1+('Hypothèses'!$C$41/100))*IF('Hypothèses'!$C$42&gt;=0.5,0,1)</f>
        <v>19026.5625</v>
      </c>
      <c r="Q9" s="23">
        <f>-(P13+P15+P16+P17+P18+P19+P20+P21+P22+P23+P25+P26+P27+P28)*('Hypothèses'!$C$41/100)/(1+('Hypothèses'!$C$41/100))*IF('Hypothèses'!$C$42&gt;=0.5,0,1)</f>
        <v>19026.5625</v>
      </c>
      <c r="R9" s="23">
        <f>-(Q13+Q15+Q16+Q17+Q18+Q19+Q20+Q21+Q22+Q23+Q25+Q26+Q27+Q28)*('Hypothèses'!$C$41/100)/(1+('Hypothèses'!$C$41/100))*IF('Hypothèses'!$C$42&gt;=0.5,0,1)</f>
        <v>18026.5625</v>
      </c>
      <c r="S9" s="23">
        <f>-(R13+R15+R16+R17+R18+R19+R20+R21+R22+R23+R25+R26+R27+R28)*('Hypothèses'!$C$41/100)/(1+('Hypothèses'!$C$41/100))*IF('Hypothèses'!$C$42&gt;=0.5,0,1)</f>
        <v>18026.5625</v>
      </c>
      <c r="T9" s="23">
        <f>-(S13+S15+S16+S17+S18+S19+S20+S21+S22+S23+S25+S26+S27+S28)*('Hypothèses'!$C$41/100)/(1+('Hypothèses'!$C$41/100))*IF('Hypothèses'!$C$42&gt;=0.5,0,1)</f>
        <v>21359.89583333333576</v>
      </c>
      <c r="U9" s="23">
        <f>-(T13+T15+T16+T17+T18+T19+T20+T21+T22+T23+T25+T26+T27+T28)*('Hypothèses'!$C$41/100)/(1+('Hypothèses'!$C$41/100))*IF('Hypothèses'!$C$42&gt;=0.5,0,1)</f>
        <v>27193.22916666666788</v>
      </c>
      <c r="V9" s="23">
        <f>-(U13+U15+U16+U17+U18+U19+U20+U21+U22+U23+U25+U26+U27+U28)*('Hypothèses'!$C$41/100)/(1+('Hypothèses'!$C$41/100))*IF('Hypothèses'!$C$42&gt;=0.5,0,1)</f>
        <v>30443.22916666666788</v>
      </c>
      <c r="W9" s="23">
        <f>-(V13+V15+V16+V17+V18+V19+V20+V21+V22+V23+V25+V26+V27+V28)*('Hypothèses'!$C$41/100)/(1+('Hypothèses'!$C$41/100))*IF('Hypothèses'!$C$42&gt;=0.5,0,1)</f>
        <v>38026.5625</v>
      </c>
      <c r="X9" s="23">
        <f>-(W13+W15+W16+W17+W18+W19+W20+W21+W22+W23+W25+W26+W27+W28)*('Hypothèses'!$C$41/100)/(1+('Hypothèses'!$C$41/100))*IF('Hypothèses'!$C$42&gt;=0.5,0,1)</f>
        <v>12500</v>
      </c>
      <c r="Y9" s="23">
        <f>-(X13+X15+X16+X17+X18+X19+X20+X21+X22+X23+X25+X26+X27+X28)*('Hypothèses'!$C$41/100)/(1+('Hypothèses'!$C$41/100))*IF('Hypothèses'!$C$42&gt;=0.5,0,1)</f>
        <v>1583.33333333333348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229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154</v>
      </c>
      <c r="B12" s="26">
        <v>1</v>
      </c>
      <c r="C12" s="26">
        <v>1</v>
      </c>
      <c r="D12" s="23">
        <f>Bilan!B6</f>
        <v>3856000</v>
      </c>
      <c r="E12" s="23">
        <f>IF(AND(1&gt;=$B12,1&lt;=$C12),-$D12/($C12-$B12+1),0)</f>
        <v>-3856000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156</v>
      </c>
      <c r="B13" s="26">
        <v>1</v>
      </c>
      <c r="C13" s="26">
        <v>1</v>
      </c>
      <c r="D13" s="23">
        <f>Bilan!B7</f>
        <v>161000</v>
      </c>
      <c r="E13" s="23">
        <f>IF(AND(1&gt;=$B13,1&lt;=$C13),-$D13/($C13-$B13+1),0)</f>
        <v>-161000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39000</v>
      </c>
      <c r="E14" s="23">
        <f>IF(AND(1&gt;=$B14,1&lt;=$C14),-$D14/($C14-$B14+1),0)</f>
        <v>-39000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162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190000</v>
      </c>
      <c r="E16" s="23">
        <f>IF(AND(1&gt;=$B16,1&lt;=$C16),-$D16/($C16-$B16+1),0)</f>
        <v>-9500</v>
      </c>
      <c r="F16" s="23">
        <f>IF(AND(2&gt;=$B16,2&lt;=$C16),-$D16/($C16-$B16+1),0)</f>
        <v>-9500</v>
      </c>
      <c r="G16" s="23">
        <f>IF(AND(3&gt;=$B16,3&lt;=$C16),-$D16/($C16-$B16+1),0)</f>
        <v>-9500</v>
      </c>
      <c r="H16" s="23">
        <f>IF(AND(4&gt;=$B16,4&lt;=$C16),-$D16/($C16-$B16+1),0)</f>
        <v>-9500</v>
      </c>
      <c r="I16" s="23">
        <f>IF(AND(5&gt;=$B16,5&lt;=$C16),-$D16/($C16-$B16+1),0)</f>
        <v>-9500</v>
      </c>
      <c r="J16" s="23">
        <f>IF(AND(6&gt;=$B16,6&lt;=$C16),-$D16/($C16-$B16+1),0)</f>
        <v>-9500</v>
      </c>
      <c r="K16" s="23">
        <f>IF(AND(7&gt;=$B16,7&lt;=$C16),-$D16/($C16-$B16+1),0)</f>
        <v>-9500</v>
      </c>
      <c r="L16" s="23">
        <f>IF(AND(8&gt;=$B16,8&lt;=$C16),-$D16/($C16-$B16+1),0)</f>
        <v>-9500</v>
      </c>
      <c r="M16" s="23">
        <f>IF(AND(9&gt;=$B16,9&lt;=$C16),-$D16/($C16-$B16+1),0)</f>
        <v>-9500</v>
      </c>
      <c r="N16" s="23">
        <f>IF(AND(10&gt;=$B16,10&lt;=$C16),-$D16/($C16-$B16+1),0)</f>
        <v>-9500</v>
      </c>
      <c r="O16" s="23">
        <f>IF(AND(11&gt;=$B16,11&lt;=$C16),-$D16/($C16-$B16+1),0)</f>
        <v>-9500</v>
      </c>
      <c r="P16" s="23">
        <f>IF(AND(12&gt;=$B16,12&lt;=$C16),-$D16/($C16-$B16+1),0)</f>
        <v>-9500</v>
      </c>
      <c r="Q16" s="23">
        <f>IF(AND(13&gt;=$B16,13&lt;=$C16),-$D16/($C16-$B16+1),0)</f>
        <v>-9500</v>
      </c>
      <c r="R16" s="23">
        <f>IF(AND(14&gt;=$B16,14&lt;=$C16),-$D16/($C16-$B16+1),0)</f>
        <v>-9500</v>
      </c>
      <c r="S16" s="23">
        <f>IF(AND(15&gt;=$B16,15&lt;=$C16),-$D16/($C16-$B16+1),0)</f>
        <v>-9500</v>
      </c>
      <c r="T16" s="23">
        <f>IF(AND(16&gt;=$B16,16&lt;=$C16),-$D16/($C16-$B16+1),0)</f>
        <v>-9500</v>
      </c>
      <c r="U16" s="23">
        <f>IF(AND(17&gt;=$B16,17&lt;=$C16),-$D16/($C16-$B16+1),0)</f>
        <v>-9500</v>
      </c>
      <c r="V16" s="23">
        <f>IF(AND(18&gt;=$B16,18&lt;=$C16),-$D16/($C16-$B16+1),0)</f>
        <v>-9500</v>
      </c>
      <c r="W16" s="23">
        <f>IF(AND(19&gt;=$B16,19&lt;=$C16),-$D16/($C16-$B16+1),0)</f>
        <v>-9500</v>
      </c>
      <c r="X16" s="23">
        <f>IF(AND(20&gt;=$B16,20&lt;=$C16),-$D16/($C16-$B16+1),0)</f>
        <v>-9500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72000</v>
      </c>
      <c r="E17" s="23">
        <f>IF(AND(1&gt;=$B17,1&lt;=$C17),-$D17/($C17-$B17+1),0)</f>
        <v>-6000</v>
      </c>
      <c r="F17" s="23">
        <f>IF(AND(2&gt;=$B17,2&lt;=$C17),-$D17/($C17-$B17+1),0)</f>
        <v>-6000</v>
      </c>
      <c r="G17" s="23">
        <f>IF(AND(3&gt;=$B17,3&lt;=$C17),-$D17/($C17-$B17+1),0)</f>
        <v>-6000</v>
      </c>
      <c r="H17" s="23">
        <f>IF(AND(4&gt;=$B17,4&lt;=$C17),-$D17/($C17-$B17+1),0)</f>
        <v>-6000</v>
      </c>
      <c r="I17" s="23">
        <f>IF(AND(5&gt;=$B17,5&lt;=$C17),-$D17/($C17-$B17+1),0)</f>
        <v>-6000</v>
      </c>
      <c r="J17" s="23">
        <f>IF(AND(6&gt;=$B17,6&lt;=$C17),-$D17/($C17-$B17+1),0)</f>
        <v>-6000</v>
      </c>
      <c r="K17" s="23">
        <f>IF(AND(7&gt;=$B17,7&lt;=$C17),-$D17/($C17-$B17+1),0)</f>
        <v>-6000</v>
      </c>
      <c r="L17" s="23">
        <f>IF(AND(8&gt;=$B17,8&lt;=$C17),-$D17/($C17-$B17+1),0)</f>
        <v>-6000</v>
      </c>
      <c r="M17" s="23">
        <f>IF(AND(9&gt;=$B17,9&lt;=$C17),-$D17/($C17-$B17+1),0)</f>
        <v>-6000</v>
      </c>
      <c r="N17" s="23">
        <f>IF(AND(10&gt;=$B17,10&lt;=$C17),-$D17/($C17-$B17+1),0)</f>
        <v>-6000</v>
      </c>
      <c r="O17" s="23">
        <f>IF(AND(11&gt;=$B17,11&lt;=$C17),-$D17/($C17-$B17+1),0)</f>
        <v>-6000</v>
      </c>
      <c r="P17" s="23">
        <f>IF(AND(12&gt;=$B17,12&lt;=$C17),-$D17/($C17-$B17+1),0)</f>
        <v>-6000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524000</v>
      </c>
      <c r="E18" s="23">
        <f>IF(AND(1&gt;=$B18,1&lt;=$C18),-$D18/($C18-$B18+1),0)</f>
        <v>0</v>
      </c>
      <c r="F18" s="23">
        <f>IF(AND(2&gt;=$B18,2&lt;=$C18),-$D18/($C18-$B18+1),0)</f>
        <v>-524000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130</v>
      </c>
      <c r="B19" s="26">
        <v>2</v>
      </c>
      <c r="C19" s="26">
        <v>2</v>
      </c>
      <c r="D19" s="23">
        <f>Bilan!B23</f>
        <v>43000</v>
      </c>
      <c r="E19" s="23">
        <f>IF(AND(1&gt;=$B19,1&lt;=$C19),-$D19/($C19-$B19+1),0)</f>
        <v>0</v>
      </c>
      <c r="F19" s="23">
        <f>IF(AND(2&gt;=$B19,2&lt;=$C19),-$D19/($C19-$B19+1),0)</f>
        <v>-43000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163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1441000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-90062.5</v>
      </c>
      <c r="H21" s="23">
        <f>IF(AND(4&gt;=$B21,4&lt;=$C21),-$D21/($C21-$B21+1),0)</f>
        <v>-90062.5</v>
      </c>
      <c r="I21" s="23">
        <f>IF(AND(5&gt;=$B21,5&lt;=$C21),-$D21/($C21-$B21+1),0)</f>
        <v>-90062.5</v>
      </c>
      <c r="J21" s="23">
        <f>IF(AND(6&gt;=$B21,6&lt;=$C21),-$D21/($C21-$B21+1),0)</f>
        <v>-90062.5</v>
      </c>
      <c r="K21" s="23">
        <f>IF(AND(7&gt;=$B21,7&lt;=$C21),-$D21/($C21-$B21+1),0)</f>
        <v>-90062.5</v>
      </c>
      <c r="L21" s="23">
        <f>IF(AND(8&gt;=$B21,8&lt;=$C21),-$D21/($C21-$B21+1),0)</f>
        <v>-90062.5</v>
      </c>
      <c r="M21" s="23">
        <f>IF(AND(9&gt;=$B21,9&lt;=$C21),-$D21/($C21-$B21+1),0)</f>
        <v>-90062.5</v>
      </c>
      <c r="N21" s="23">
        <f>IF(AND(10&gt;=$B21,10&lt;=$C21),-$D21/($C21-$B21+1),0)</f>
        <v>-90062.5</v>
      </c>
      <c r="O21" s="23">
        <f>IF(AND(11&gt;=$B21,11&lt;=$C21),-$D21/($C21-$B21+1),0)</f>
        <v>-90062.5</v>
      </c>
      <c r="P21" s="23">
        <f>IF(AND(12&gt;=$B21,12&lt;=$C21),-$D21/($C21-$B21+1),0)</f>
        <v>-90062.5</v>
      </c>
      <c r="Q21" s="23">
        <f>IF(AND(13&gt;=$B21,13&lt;=$C21),-$D21/($C21-$B21+1),0)</f>
        <v>-90062.5</v>
      </c>
      <c r="R21" s="23">
        <f>IF(AND(14&gt;=$B21,14&lt;=$C21),-$D21/($C21-$B21+1),0)</f>
        <v>-90062.5</v>
      </c>
      <c r="S21" s="23">
        <f>IF(AND(15&gt;=$B21,15&lt;=$C21),-$D21/($C21-$B21+1),0)</f>
        <v>-90062.5</v>
      </c>
      <c r="T21" s="23">
        <f>IF(AND(16&gt;=$B21,16&lt;=$C21),-$D21/($C21-$B21+1),0)</f>
        <v>-90062.5</v>
      </c>
      <c r="U21" s="23">
        <f>IF(AND(17&gt;=$B21,17&lt;=$C21),-$D21/($C21-$B21+1),0)</f>
        <v>-90062.5</v>
      </c>
      <c r="V21" s="23">
        <f>IF(AND(18&gt;=$B21,18&lt;=$C21),-$D21/($C21-$B21+1),0)</f>
        <v>-90062.5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159</v>
      </c>
      <c r="B22" s="26">
        <v>3</v>
      </c>
      <c r="C22" s="26">
        <v>18</v>
      </c>
      <c r="D22" s="23">
        <f>Bilan!B17</f>
        <v>137550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-8596.875</v>
      </c>
      <c r="H22" s="23">
        <f>IF(AND(4&gt;=$B22,4&lt;=$C22),-$D22/($C22-$B22+1),0)</f>
        <v>-8596.875</v>
      </c>
      <c r="I22" s="23">
        <f>IF(AND(5&gt;=$B22,5&lt;=$C22),-$D22/($C22-$B22+1),0)</f>
        <v>-8596.875</v>
      </c>
      <c r="J22" s="23">
        <f>IF(AND(6&gt;=$B22,6&lt;=$C22),-$D22/($C22-$B22+1),0)</f>
        <v>-8596.875</v>
      </c>
      <c r="K22" s="23">
        <f>IF(AND(7&gt;=$B22,7&lt;=$C22),-$D22/($C22-$B22+1),0)</f>
        <v>-8596.875</v>
      </c>
      <c r="L22" s="23">
        <f>IF(AND(8&gt;=$B22,8&lt;=$C22),-$D22/($C22-$B22+1),0)</f>
        <v>-8596.875</v>
      </c>
      <c r="M22" s="23">
        <f>IF(AND(9&gt;=$B22,9&lt;=$C22),-$D22/($C22-$B22+1),0)</f>
        <v>-8596.875</v>
      </c>
      <c r="N22" s="23">
        <f>IF(AND(10&gt;=$B22,10&lt;=$C22),-$D22/($C22-$B22+1),0)</f>
        <v>-8596.875</v>
      </c>
      <c r="O22" s="23">
        <f>IF(AND(11&gt;=$B22,11&lt;=$C22),-$D22/($C22-$B22+1),0)</f>
        <v>-8596.875</v>
      </c>
      <c r="P22" s="23">
        <f>IF(AND(12&gt;=$B22,12&lt;=$C22),-$D22/($C22-$B22+1),0)</f>
        <v>-8596.875</v>
      </c>
      <c r="Q22" s="23">
        <f>IF(AND(13&gt;=$B22,13&lt;=$C22),-$D22/($C22-$B22+1),0)</f>
        <v>-8596.875</v>
      </c>
      <c r="R22" s="23">
        <f>IF(AND(14&gt;=$B22,14&lt;=$C22),-$D22/($C22-$B22+1),0)</f>
        <v>-8596.875</v>
      </c>
      <c r="S22" s="23">
        <f>IF(AND(15&gt;=$B22,15&lt;=$C22),-$D22/($C22-$B22+1),0)</f>
        <v>-8596.875</v>
      </c>
      <c r="T22" s="23">
        <f>IF(AND(16&gt;=$B22,16&lt;=$C22),-$D22/($C22-$B22+1),0)</f>
        <v>-8596.875</v>
      </c>
      <c r="U22" s="23">
        <f>IF(AND(17&gt;=$B22,17&lt;=$C22),-$D22/($C22-$B22+1),0)</f>
        <v>-8596.875</v>
      </c>
      <c r="V22" s="23">
        <f>IF(AND(18&gt;=$B22,18&lt;=$C22),-$D22/($C22-$B22+1),0)</f>
        <v>-8596.875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158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26000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-26000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105000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-35000</v>
      </c>
      <c r="U26" s="23">
        <f>IF(AND(17&gt;=$B26,17&lt;=$C26),-$D26/($C26-$B26+1),0)</f>
        <v>-35000</v>
      </c>
      <c r="V26" s="23">
        <f>IF(AND(18&gt;=$B26,18&lt;=$C26),-$D26/($C26-$B26+1),0)</f>
        <v>-35000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39000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-19500</v>
      </c>
      <c r="V27" s="23">
        <f>IF(AND(18&gt;=$B27,18&lt;=$C27),-$D27/($C27-$B27+1),0)</f>
        <v>-19500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131000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-65500</v>
      </c>
      <c r="W28" s="23">
        <f>IF(AND(19&gt;=$B28,19&lt;=$C28),-$D28/($C28-$B28+1),0)</f>
        <v>-65500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230</v>
      </c>
      <c r="B29" s="26">
        <v>1</v>
      </c>
      <c r="C29" s="26">
        <v>1</v>
      </c>
      <c r="D29" s="23">
        <f>Bilan!B32+Bilan!B33</f>
        <v>338103.84999999997672</v>
      </c>
      <c r="E29" s="23">
        <f>IF(AND(1&gt;=$B29,1&lt;=$C29),-$D29/($C29-$B29+1),0)</f>
        <v>-338103.84999999997672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231</v>
      </c>
      <c r="D30" s="23">
        <f>Bilan!B30+Bilan!B31</f>
        <v>6719872.625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-6719872.625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232</v>
      </c>
      <c r="D31" s="23">
        <f>Bilan!B37-Bilan!B38</f>
        <v>1269152.5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-1269152.5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233</v>
      </c>
      <c r="D32" s="23">
        <f>Bilan!B44</f>
        <v>0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0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234</v>
      </c>
      <c r="B34" s="1"/>
      <c r="C34" s="1"/>
      <c r="D34" s="25"/>
      <c r="E34" s="25">
        <f>SUM(E6:E9)+SUM(E12:E32)</f>
        <v>2449946.15000000037253</v>
      </c>
      <c r="F34" s="25">
        <f>SUM(F6:F9)+SUM(F12:F32)</f>
        <v>-565583.33333333337214</v>
      </c>
      <c r="G34" s="25">
        <f>SUM(G6:G9)+SUM(G12:G32)</f>
        <v>-14576.041666666656965</v>
      </c>
      <c r="H34" s="25">
        <f>SUM(H6:H9)+SUM(H12:H32)</f>
        <v>-127799.47916666668607</v>
      </c>
      <c r="I34" s="25">
        <f>SUM(I6:I9)+SUM(I12:I32)</f>
        <v>-100688.36805555556202</v>
      </c>
      <c r="J34" s="25">
        <f>SUM(J6:J9)+SUM(J12:J32)</f>
        <v>-100688.36805555556202</v>
      </c>
      <c r="K34" s="25">
        <f>SUM(K6:K9)+SUM(K12:K32)</f>
        <v>-94021.70138888889051</v>
      </c>
      <c r="L34" s="25">
        <f>SUM(L6:L9)+SUM(L12:L32)</f>
        <v>-95132.8125</v>
      </c>
      <c r="M34" s="25">
        <f>SUM(M6:M9)+SUM(M12:M32)</f>
        <v>-95132.8125</v>
      </c>
      <c r="N34" s="25">
        <f>SUM(N6:N9)+SUM(N12:N32)</f>
        <v>-95132.8125</v>
      </c>
      <c r="O34" s="25">
        <f>SUM(O6:O9)+SUM(O12:O32)</f>
        <v>-95132.8125</v>
      </c>
      <c r="P34" s="25">
        <f>SUM(P6:P9)+SUM(P12:P32)</f>
        <v>-95132.8125</v>
      </c>
      <c r="Q34" s="25">
        <f>SUM(Q6:Q9)+SUM(Q12:Q32)</f>
        <v>-89132.8125</v>
      </c>
      <c r="R34" s="25">
        <f>SUM(R6:R9)+SUM(R12:R32)</f>
        <v>-90132.8125</v>
      </c>
      <c r="S34" s="25">
        <f>SUM(S6:S9)+SUM(S12:S32)</f>
        <v>-110132.8125</v>
      </c>
      <c r="T34" s="25">
        <f>SUM(T6:T9)+SUM(T12:T32)</f>
        <v>-141799.47916666665697</v>
      </c>
      <c r="U34" s="25">
        <f>SUM(U6:U9)+SUM(U12:U32)</f>
        <v>-155466.14583333334303</v>
      </c>
      <c r="V34" s="25">
        <f>SUM(V6:V9)+SUM(V12:V32)</f>
        <v>-197716.14583333334303</v>
      </c>
      <c r="W34" s="25">
        <f>SUM(W6:W9)+SUM(W12:W32)</f>
        <v>-36973.4375</v>
      </c>
      <c r="X34" s="25">
        <f>SUM(X6:X9)+SUM(X12:X32)</f>
        <v>898042.375</v>
      </c>
      <c r="Y34" s="25">
        <f>SUM(Y6:Y9)+SUM(Y12:Y32)</f>
        <v>-1267569.16666666674428</v>
      </c>
      <c r="Z34" s="25">
        <f>SUM(Z6:Z9)+SUM(Z12:Z32)</f>
        <v>0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235</v>
      </c>
      <c r="B35" s="1"/>
      <c r="C35" s="1"/>
      <c r="D35" s="25"/>
      <c r="E35" s="25">
        <f>E34</f>
        <v>2449946.15000000037253</v>
      </c>
      <c r="F35" s="25">
        <f>E35+F34</f>
        <v>1884362.81666666688398</v>
      </c>
      <c r="G35" s="25">
        <f>F35+G34</f>
        <v>1869786.7750000001397</v>
      </c>
      <c r="H35" s="25">
        <f>G35+H34</f>
        <v>1741987.29583333339542</v>
      </c>
      <c r="I35" s="25">
        <f>H35+I34</f>
        <v>1641298.92777777789161</v>
      </c>
      <c r="J35" s="25">
        <f>I35+J34</f>
        <v>1540610.55972222238779</v>
      </c>
      <c r="K35" s="25">
        <f>J35+K34</f>
        <v>1446588.85833333339542</v>
      </c>
      <c r="L35" s="25">
        <f>K35+L34</f>
        <v>1351456.045833333395422</v>
      </c>
      <c r="M35" s="25">
        <f>L35+M34</f>
        <v>1256323.23333333339542</v>
      </c>
      <c r="N35" s="25">
        <f>M35+N34</f>
        <v>1161190.42083333339542</v>
      </c>
      <c r="O35" s="25">
        <f>N35+O34</f>
        <v>1066057.60833333339542</v>
      </c>
      <c r="P35" s="25">
        <f>O35+P34</f>
        <v>970924.79583333339542</v>
      </c>
      <c r="Q35" s="25">
        <f>P35+Q34</f>
        <v>881791.98333333339542</v>
      </c>
      <c r="R35" s="25">
        <f>Q35+R34</f>
        <v>791659.17083333339542</v>
      </c>
      <c r="S35" s="25">
        <f>R35+S34</f>
        <v>681526.35833333339542</v>
      </c>
      <c r="T35" s="25">
        <f>S35+T34</f>
        <v>539726.87916666676756</v>
      </c>
      <c r="U35" s="25">
        <f>T35+U34</f>
        <v>384260.73333333339542</v>
      </c>
      <c r="V35" s="25">
        <f>U35+V34</f>
        <v>186544.58750000005239</v>
      </c>
      <c r="W35" s="25">
        <f>V35+W34</f>
        <v>149571.15000000005239</v>
      </c>
      <c r="X35" s="25">
        <f>W35+X34</f>
        <v>1047613.52500000002328</v>
      </c>
      <c r="Y35" s="25">
        <f>X35+Y34</f>
        <v>-219955.64166666672099</v>
      </c>
      <c r="Z35" s="25">
        <f>Y35+Z34</f>
        <v>-219955.64166666672099</v>
      </c>
      <c r="AA35" s="25">
        <f>Z35+AA34</f>
        <v>-219955.64166666672099</v>
      </c>
      <c r="AB35" s="25">
        <f>AA35+AB34</f>
        <v>-219955.64166666672099</v>
      </c>
      <c r="AC35" s="25">
        <f>AB35+AC34</f>
        <v>-219955.64166666672099</v>
      </c>
      <c r="AD35" s="25">
        <f>AC35+AD34</f>
        <v>-219955.64166666672099</v>
      </c>
      <c r="AE35" s="25">
        <f>AD35+AE34</f>
        <v>-219955.64166666672099</v>
      </c>
      <c r="AF35" s="25">
        <f>AE35+AF34</f>
        <v>-219955.64166666672099</v>
      </c>
      <c r="AG35" s="25">
        <f>AF35+AG34</f>
        <v>-219955.64166666672099</v>
      </c>
      <c r="AH35" s="25">
        <f>AG35+AH34</f>
        <v>-219955.64166666672099</v>
      </c>
      <c r="AI35" s="25">
        <f>AH35+AI34</f>
        <v>-219955.64166666672099</v>
      </c>
      <c r="AJ35" s="25">
        <f>AI35+AJ34</f>
        <v>-219955.64166666672099</v>
      </c>
      <c r="AK35" s="25">
        <f>AJ35+AK34</f>
        <v>-219955.64166666672099</v>
      </c>
      <c r="AL35" s="25">
        <f>AK35+AL34</f>
        <v>-219955.64166666672099</v>
      </c>
      <c r="AM35" s="25">
        <f>AL35+AM34</f>
        <v>-219955.64166666672099</v>
      </c>
      <c r="AN35" s="25">
        <f>AM35+AN34</f>
        <v>-219955.64166666672099</v>
      </c>
    </row>
    <row r="37" spans="1:40">
      <c r="A37" t="s">
        <v>236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237</v>
      </c>
    </row>
    <row r="2" spans="1:6">
      <c r="A2" t="s">
        <v>238</v>
      </c>
    </row>
    <row r="4" spans="1:6">
      <c r="A4" s="3" t="s">
        <v>243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-2038380.84350000019185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-1567062.093500000191852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-1095743.34350000019185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-320187.093500000191852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341526.86737499985611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-2116078.24258333398029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-1644759.49258333398029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-1173440.74258333398029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-397884.49258333398029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283253.81806249951478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-2193775.64166666707024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-1722456.89166666707024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-1251138.14166666707024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-475581.89166666707024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224980.76874999969732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-2271473.040750000160187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-1800154.29075000016019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-1328835.54075000016019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-553279.29075000016019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166707.71943749987986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-2349170.4398333337158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-1877851.68983333394863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-1406532.93983333394863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-630976.68983333394863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108434.67012499953853</v>
      </c>
    </row>
    <row r="11" spans="1:6">
      <c r="A11" s="1" t="s">
        <v>244</v>
      </c>
      <c r="B11" s="32">
        <f>IF('Hypothèses'!$C$42&gt;=0.5,(($B$14+$B$15)*(1+('Hypothèses'!$C$40/100))-Bilan!$B$6*('Hypothèses'!$C$40/100))/Bilan!$B$40,($B$14+$B$15)*(1+('Hypothèses'!$C$40/100))/Bilan!$B$40)</f>
        <v>18278.25718295739716</v>
      </c>
    </row>
    <row r="12" spans="1:6">
      <c r="A12" t="s">
        <v>245</v>
      </c>
    </row>
    <row r="13" spans="1:6">
      <c r="A13" s="1" t="s">
        <v>239</v>
      </c>
    </row>
    <row r="14" spans="1:6">
      <c r="A14" t="s">
        <v>240</v>
      </c>
      <c r="B14" s="10">
        <f>Bilan!C25</f>
        <v>6382291.66666666697711</v>
      </c>
    </row>
    <row r="15" spans="1:6">
      <c r="A15" t="s">
        <v>4</v>
      </c>
      <c r="B15" s="10">
        <f>Bilan!B34</f>
        <v>1214608.97500000009313</v>
      </c>
    </row>
    <row r="16" spans="1:6">
      <c r="A16" t="s">
        <v>241</v>
      </c>
      <c r="B16" s="29">
        <f>(1-'Hypothèses'!$C$66/100)*'Hypothèses'!$C$64/100*'Hypothèses'!$C$65/12+'Hypothèses'!$C$67/100</f>
        <v>0.1745</v>
      </c>
    </row>
    <row r="17" spans="1:6">
      <c r="A17" t="s">
        <v>242</v>
      </c>
      <c r="B17" s="10">
        <f>Bilan!B10*(1+'Hypothèses'!$C$55/100)</f>
        <v>1541870</v>
      </c>
    </row>
    <row r="20" spans="1:6">
      <c r="A20" s="3" t="s">
        <v>246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478.75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-2410442.30833333311602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-1958023.55833333311602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-1505604.80833333311602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-761148.55833333311602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-16692.30833333311602</v>
      </c>
    </row>
    <row r="22" spans="1:6">
      <c r="A22" s="33">
        <f>Bilan!$B$40-10</f>
        <v>488.75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-2302108.97500000009313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-1840240.22500000009313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-1378371.47500000009313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-618365.22500000009313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106230.76874999993015</v>
      </c>
    </row>
    <row r="23" spans="1:6">
      <c r="A23" s="33">
        <f>Bilan!$B$40+0</f>
        <v>498.75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-2193775.64166666707024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-1722456.89166666707024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-1251138.14166666707024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-475581.89166666707024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224980.76874999969732</v>
      </c>
    </row>
    <row r="24" spans="1:6">
      <c r="A24" s="33">
        <f>Bilan!$B$40+10</f>
        <v>508.75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-2085442.30833333311602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-1604673.55833333311602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-1123904.80833333311602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-332798.55833333311602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343730.76875000016298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247</v>
      </c>
    </row>
    <row r="3" spans="1:13">
      <c r="A3" s="3" t="s">
        <v>248</v>
      </c>
      <c r="B3" s="3" t="s">
        <v>249</v>
      </c>
      <c r="C3" s="3" t="s">
        <v>250</v>
      </c>
      <c r="D3" s="3" t="s">
        <v>251</v>
      </c>
      <c r="E3" s="3"/>
      <c r="F3" s="3"/>
      <c r="G3" s="3" t="s">
        <v>252</v>
      </c>
      <c r="H3" s="3"/>
      <c r="I3" s="3"/>
      <c r="J3" s="3" t="s">
        <v>253</v>
      </c>
      <c r="K3" s="3"/>
      <c r="L3" s="3"/>
    </row>
    <row r="4" spans="1:13">
      <c r="A4" s="3"/>
      <c r="B4" s="3"/>
      <c r="C4" s="3"/>
      <c r="D4" s="3" t="s">
        <v>254</v>
      </c>
      <c r="E4" s="3" t="s">
        <v>255</v>
      </c>
      <c r="F4" s="3" t="s">
        <v>256</v>
      </c>
      <c r="G4" s="3" t="s">
        <v>254</v>
      </c>
      <c r="H4" s="3" t="s">
        <v>255</v>
      </c>
      <c r="I4" s="3" t="s">
        <v>256</v>
      </c>
      <c r="J4" s="3" t="s">
        <v>254</v>
      </c>
      <c r="K4" s="3" t="s">
        <v>255</v>
      </c>
      <c r="L4" s="3" t="s">
        <v>256</v>
      </c>
      <c r="M4" t="s">
        <v>275</v>
      </c>
    </row>
    <row r="5" spans="1:13" customHeight="1" ht="62">
      <c r="A5" t="s">
        <v>257</v>
      </c>
      <c r="B5" t="s">
        <v>258</v>
      </c>
      <c r="C5" s="7" t="s">
        <v>259</v>
      </c>
      <c r="D5" s="10">
        <f>'Rénover-revendre'!F18</f>
        <v>-2019409.65000000037253</v>
      </c>
      <c r="E5" s="10">
        <f>'Rénover-revendre'!I18</f>
        <v>-728708.25</v>
      </c>
      <c r="F5" s="10">
        <f>'Rénover-revendre'!L18</f>
        <v>-7319.25</v>
      </c>
      <c r="G5" s="13">
        <f>'Rénover-revendre'!F19</f>
        <v>-0.60232698915494</v>
      </c>
      <c r="H5" s="13">
        <f>'Rénover-revendre'!I19</f>
        <v>-0.15559717506886</v>
      </c>
      <c r="I5" s="13">
        <f>'Rénover-revendre'!L19</f>
        <v>-0.0013486733001658</v>
      </c>
      <c r="J5" s="10">
        <f>'Rénover-revendre'!F20</f>
        <v>1775739.28571428544819</v>
      </c>
      <c r="K5" s="10">
        <f>'Rénover-revendre'!I20</f>
        <v>2737916.0052910055965185</v>
      </c>
      <c r="L5" s="10">
        <f>'Rénover-revendre'!L20</f>
        <v>3275688.49206349207088</v>
      </c>
      <c r="M5">
        <f>IF(OR(B5="Improbable",B5="Impossible"),-1E+15,IF(ISNUMBER(E5),E5,-1E+15))</f>
        <v>-728708.25</v>
      </c>
    </row>
    <row r="6" spans="1:13" customHeight="1" ht="62">
      <c r="A6" t="s">
        <v>45</v>
      </c>
      <c r="B6" t="s">
        <v>260</v>
      </c>
      <c r="C6" s="7" t="s">
        <v>261</v>
      </c>
      <c r="D6" s="10">
        <f>'Extension max'!F21</f>
        <v>-1180771.875</v>
      </c>
      <c r="E6" s="10">
        <f>'Extension max'!I21</f>
        <v>504845.625</v>
      </c>
      <c r="F6" s="10">
        <f>'Extension max'!L21</f>
        <v>1446958.125</v>
      </c>
      <c r="G6" s="13">
        <f>'Extension max'!F22</f>
        <v>-0.26967497430627</v>
      </c>
      <c r="H6" s="13">
        <f>'Extension max'!I22</f>
        <v>0.082541692213366</v>
      </c>
      <c r="I6" s="13">
        <f>'Extension max'!L22</f>
        <v>0.20415634920635</v>
      </c>
      <c r="J6" s="10">
        <f>'Extension max'!F23</f>
        <v>2429447.11538461502641</v>
      </c>
      <c r="K6" s="10">
        <f>'Extension max'!I23</f>
        <v>3647357.37179487198591</v>
      </c>
      <c r="L6" s="10">
        <f>'Extension max'!L23</f>
        <v>4328062.5</v>
      </c>
      <c r="M6">
        <f>IF(OR(B6="Improbable",B6="Impossible"),-1E+15,IF(ISNUMBER(E6),E6,-1E+15))</f>
        <v>504845.625</v>
      </c>
    </row>
    <row r="7" spans="1:13" customHeight="1" ht="62">
      <c r="A7" t="s">
        <v>262</v>
      </c>
      <c r="B7" t="s">
        <v>263</v>
      </c>
      <c r="C7" s="7" t="s">
        <v>264</v>
      </c>
      <c r="D7" t="s">
        <v>265</v>
      </c>
      <c r="M7">
        <f>IF(OR(B7="Improbable",B7="Impossible"),-1E+15,IF(ISNUMBER(E7),E7,-1E+15))</f>
        <v>-1.0E+15</v>
      </c>
    </row>
    <row r="8" spans="1:13" customHeight="1" ht="62">
      <c r="A8" t="s">
        <v>266</v>
      </c>
      <c r="B8" t="s">
        <v>258</v>
      </c>
      <c r="C8" s="7" t="s">
        <v>267</v>
      </c>
      <c r="D8" s="10">
        <f>'Extension + rénovation'!F22</f>
        <v>-2052322.65000000037253</v>
      </c>
      <c r="E8" s="10">
        <f>'Extension + rénovation'!I22</f>
        <v>-504765.25</v>
      </c>
      <c r="F8" s="10">
        <f>'Extension + rénovation'!L22</f>
        <v>360183.75</v>
      </c>
      <c r="G8" s="13">
        <f>'Extension + rénovation'!F23</f>
        <v>-0.51054326248545</v>
      </c>
      <c r="H8" s="13">
        <f>'Extension + rénovation'!I23</f>
        <v>-0.089891056577565</v>
      </c>
      <c r="I8" s="13">
        <f>'Extension + rénovation'!L23</f>
        <v>0.055353273397879</v>
      </c>
      <c r="J8" s="10">
        <f>'Extension + rénovation'!F24</f>
        <v>1730508.8461538455449</v>
      </c>
      <c r="K8" s="10">
        <f>'Extension + rénovation'!I24</f>
        <v>2848666.45299145299941</v>
      </c>
      <c r="L8" s="10">
        <f>'Extension + rénovation'!L24</f>
        <v>3473618.58974358998239</v>
      </c>
      <c r="M8">
        <f>IF(OR(B8="Improbable",B8="Impossible"),-1E+15,IF(ISNUMBER(E8),E8,-1E+15))</f>
        <v>-504765.25</v>
      </c>
    </row>
    <row r="9" spans="1:13" customHeight="1" ht="62">
      <c r="A9" t="s">
        <v>268</v>
      </c>
      <c r="B9" t="s">
        <v>263</v>
      </c>
      <c r="C9" s="7" t="s">
        <v>269</v>
      </c>
      <c r="D9" t="s">
        <v>265</v>
      </c>
      <c r="M9">
        <f>IF(OR(B9="Improbable",B9="Impossible"),-1E+15,IF(ISNUMBER(E9),E9,-1E+15))</f>
        <v>-1.0E+15</v>
      </c>
    </row>
    <row r="10" spans="1:13" customHeight="1" ht="62">
      <c r="A10" t="s">
        <v>270</v>
      </c>
      <c r="B10" t="s">
        <v>260</v>
      </c>
      <c r="C10" s="7" t="s">
        <v>271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-2193775.64166666707024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-1251138.14166666707024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224980.76874999969732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-0.40601978330441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-0.19716119877898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0.028489848041155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1068089.70483893831261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1710158.67035617958754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2766684.85170994699001</v>
      </c>
      <c r="M10">
        <f>IF(OR(B10="Improbable",B10="Impossible"),-1E+15,IF(ISNUMBER(E10),E10,-1E+15))</f>
        <v>-1251138.14166666707024</v>
      </c>
    </row>
    <row r="11" spans="1:13" customHeight="1" ht="62">
      <c r="A11" t="s">
        <v>272</v>
      </c>
      <c r="B11" t="s">
        <v>263</v>
      </c>
      <c r="C11" s="7" t="s">
        <v>273</v>
      </c>
      <c r="D11" t="s">
        <v>265</v>
      </c>
      <c r="M11">
        <f>IF(OR(B11="Improbable",B11="Impossible"),-1E+15,IF(ISNUMBER(E11),E11,-1E+15))</f>
        <v>-1.0E+15</v>
      </c>
    </row>
    <row r="13" spans="1:13">
      <c r="A13" s="1" t="s">
        <v>274</v>
      </c>
      <c r="B13" s="1"/>
      <c r="C13" s="1"/>
      <c r="D13" s="1" t="str">
        <f>INDEX(A5:A11,MATCH(MAX(M5:M11),M5:M11,0))</f>
        <v>Extension maximale</v>
      </c>
    </row>
    <row r="15" spans="1:13">
      <c r="A15" t="s">
        <v>276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257</v>
      </c>
    </row>
    <row r="2" spans="1:12" customHeight="1" ht="48">
      <c r="A2" s="7" t="s">
        <v>277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284</v>
      </c>
      <c r="B6" t="s">
        <v>42</v>
      </c>
      <c r="C6" t="s">
        <v>285</v>
      </c>
      <c r="D6" s="11">
        <f>'Hypothèses'!$C$13</f>
        <v>402</v>
      </c>
      <c r="E6" s="12">
        <f>'Hypothèses'!$C$9</f>
        <v>8340</v>
      </c>
      <c r="F6" s="12">
        <f>D6*E6</f>
        <v>3352680</v>
      </c>
      <c r="G6" s="11">
        <f>'Hypothèses'!$C$13</f>
        <v>402</v>
      </c>
      <c r="H6" s="12">
        <f>'Hypothèses'!$C$10</f>
        <v>11650</v>
      </c>
      <c r="I6" s="12">
        <f>G6*H6</f>
        <v>4683300</v>
      </c>
      <c r="J6" s="11">
        <f>'Hypothèses'!$C$13</f>
        <v>402</v>
      </c>
      <c r="K6" s="12">
        <f>'Hypothèses'!$C$11</f>
        <v>13500</v>
      </c>
      <c r="L6" s="12">
        <f>J6*K6</f>
        <v>5427000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4000000</v>
      </c>
      <c r="F7" s="10">
        <f>D7*E7</f>
        <v>4000000</v>
      </c>
      <c r="G7" s="9">
        <f>1</f>
        <v>1</v>
      </c>
      <c r="H7" s="10">
        <f>'Hypothèses'!$C$6</f>
        <v>4000000</v>
      </c>
      <c r="I7" s="10">
        <f>G7*H7</f>
        <v>4000000</v>
      </c>
      <c r="J7" s="9">
        <f>1</f>
        <v>1</v>
      </c>
      <c r="K7" s="10">
        <f>'Hypothèses'!$C$6</f>
        <v>4000000</v>
      </c>
      <c r="L7" s="10">
        <f>J7*K7</f>
        <v>4000000</v>
      </c>
    </row>
    <row r="8" spans="1:12">
      <c r="A8" t="s">
        <v>289</v>
      </c>
      <c r="B8" t="s">
        <v>27</v>
      </c>
      <c r="C8" t="s">
        <v>290</v>
      </c>
      <c r="D8" s="10">
        <f>F7</f>
        <v>4000000</v>
      </c>
      <c r="E8" s="13">
        <f>'Hypothèses'!$C$7/100</f>
        <v>0.08</v>
      </c>
      <c r="F8" s="10">
        <f>D8*E8</f>
        <v>320000</v>
      </c>
      <c r="G8" s="10">
        <f>I7</f>
        <v>4000000</v>
      </c>
      <c r="H8" s="13">
        <f>'Hypothèses'!$C$7/100</f>
        <v>0.08</v>
      </c>
      <c r="I8" s="10">
        <f>G8*H8</f>
        <v>320000</v>
      </c>
      <c r="J8" s="10">
        <f>L7</f>
        <v>4000000</v>
      </c>
      <c r="K8" s="13">
        <f>'Hypothèses'!$C$7/100</f>
        <v>0.08</v>
      </c>
      <c r="L8" s="10">
        <f>J8*K8</f>
        <v>320000</v>
      </c>
    </row>
    <row r="9" spans="1:12">
      <c r="A9" t="s">
        <v>291</v>
      </c>
      <c r="B9" t="s">
        <v>42</v>
      </c>
      <c r="C9" t="s">
        <v>292</v>
      </c>
      <c r="D9" s="9">
        <f>'Hypothèses'!$C$13</f>
        <v>402</v>
      </c>
      <c r="E9" s="10">
        <f>'Hypothèses'!$C$17</f>
        <v>1500</v>
      </c>
      <c r="F9" s="10">
        <f>D9*E9</f>
        <v>603000</v>
      </c>
      <c r="G9" s="9">
        <f>'Hypothèses'!$C$13</f>
        <v>402</v>
      </c>
      <c r="H9" s="10">
        <f>'Hypothèses'!$C$17</f>
        <v>1500</v>
      </c>
      <c r="I9" s="10">
        <f>G9*H9</f>
        <v>603000</v>
      </c>
      <c r="J9" s="9">
        <f>'Hypothèses'!$C$13</f>
        <v>402</v>
      </c>
      <c r="K9" s="10">
        <f>'Hypothèses'!$C$17</f>
        <v>1500</v>
      </c>
      <c r="L9" s="10">
        <f>J9*K9</f>
        <v>603000</v>
      </c>
    </row>
    <row r="10" spans="1:12">
      <c r="A10" t="s">
        <v>293</v>
      </c>
      <c r="B10" t="s">
        <v>27</v>
      </c>
      <c r="C10" t="s">
        <v>294</v>
      </c>
      <c r="D10" s="10">
        <f>F9</f>
        <v>603000</v>
      </c>
      <c r="E10" s="13">
        <f>'Hypothèses'!$C$23/100</f>
        <v>0.06</v>
      </c>
      <c r="F10" s="10">
        <f>D10*E10</f>
        <v>36180</v>
      </c>
      <c r="G10" s="10">
        <f>I9</f>
        <v>603000</v>
      </c>
      <c r="H10" s="13">
        <f>'Hypothèses'!$C$23/100</f>
        <v>0.06</v>
      </c>
      <c r="I10" s="10">
        <f>G10*H10</f>
        <v>36180</v>
      </c>
      <c r="J10" s="10">
        <f>L9</f>
        <v>603000</v>
      </c>
      <c r="K10" s="13">
        <f>'Hypothèses'!$C$23/100</f>
        <v>0.06</v>
      </c>
      <c r="L10" s="10">
        <f>J10*K10</f>
        <v>36180</v>
      </c>
    </row>
    <row r="11" spans="1:12">
      <c r="A11" t="s">
        <v>66</v>
      </c>
      <c r="B11" t="s">
        <v>27</v>
      </c>
      <c r="C11" t="s">
        <v>294</v>
      </c>
      <c r="D11" s="10">
        <f>F9</f>
        <v>603000</v>
      </c>
      <c r="E11" s="13">
        <f>'Hypothèses'!$C$26/100</f>
        <v>0.03</v>
      </c>
      <c r="F11" s="10">
        <f>D11*E11</f>
        <v>18090</v>
      </c>
      <c r="G11" s="10">
        <f>I9</f>
        <v>603000</v>
      </c>
      <c r="H11" s="13">
        <f>'Hypothèses'!$C$26/100</f>
        <v>0.03</v>
      </c>
      <c r="I11" s="10">
        <f>G11*H11</f>
        <v>18090</v>
      </c>
      <c r="J11" s="10">
        <f>L9</f>
        <v>603000</v>
      </c>
      <c r="K11" s="13">
        <f>'Hypothèses'!$C$26/100</f>
        <v>0.03</v>
      </c>
      <c r="L11" s="10">
        <f>J11*K11</f>
        <v>18090</v>
      </c>
    </row>
    <row r="12" spans="1:12">
      <c r="A12" t="s">
        <v>67</v>
      </c>
      <c r="B12" t="s">
        <v>27</v>
      </c>
      <c r="C12" t="s">
        <v>294</v>
      </c>
      <c r="D12" s="10">
        <f>F9</f>
        <v>603000</v>
      </c>
      <c r="E12" s="13">
        <f>'Hypothèses'!$C$27/100</f>
        <v>0.1</v>
      </c>
      <c r="F12" s="10">
        <f>D12*E12</f>
        <v>60300</v>
      </c>
      <c r="G12" s="10">
        <f>I9</f>
        <v>603000</v>
      </c>
      <c r="H12" s="13">
        <f>'Hypothèses'!$C$27/100</f>
        <v>0.1</v>
      </c>
      <c r="I12" s="10">
        <f>G12*H12</f>
        <v>60300</v>
      </c>
      <c r="J12" s="10">
        <f>L9</f>
        <v>603000</v>
      </c>
      <c r="K12" s="13">
        <f>'Hypothèses'!$C$27/100</f>
        <v>0.1</v>
      </c>
      <c r="L12" s="10">
        <f>J12*K12</f>
        <v>60300</v>
      </c>
    </row>
    <row r="13" spans="1:12">
      <c r="A13" t="s">
        <v>295</v>
      </c>
      <c r="B13" t="s">
        <v>27</v>
      </c>
      <c r="C13" t="s">
        <v>296</v>
      </c>
      <c r="D13" s="10">
        <f>F7+F8+0.5*(F9+F10+F11+F12)</f>
        <v>4678785</v>
      </c>
      <c r="E13" s="13">
        <f>'Hypothèses'!$C$30/100*'Hypothèses'!$C$31/12</f>
        <v>0.05</v>
      </c>
      <c r="F13" s="10">
        <f>D13*E13</f>
        <v>233939.25000000005821</v>
      </c>
      <c r="G13" s="10">
        <f>I7+I8+0.5*(I9+I10+I11+I12)</f>
        <v>4678785</v>
      </c>
      <c r="H13" s="13">
        <f>'Hypothèses'!$C$30/100*'Hypothèses'!$C$31/12</f>
        <v>0.05</v>
      </c>
      <c r="I13" s="10">
        <f>G13*H13</f>
        <v>233939.25000000005821</v>
      </c>
      <c r="J13" s="10">
        <f>L7+L8+0.5*(L9+L10+L11+L12)</f>
        <v>4678785</v>
      </c>
      <c r="K13" s="13">
        <f>'Hypothèses'!$C$30/100*'Hypothèses'!$C$31/12</f>
        <v>0.05</v>
      </c>
      <c r="L13" s="10">
        <f>J13*K13</f>
        <v>233939.25000000005821</v>
      </c>
    </row>
    <row r="14" spans="1:12">
      <c r="A14" t="s">
        <v>69</v>
      </c>
      <c r="B14" t="s">
        <v>27</v>
      </c>
      <c r="C14" t="s">
        <v>297</v>
      </c>
      <c r="D14" s="10">
        <f>F6</f>
        <v>3352680</v>
      </c>
      <c r="E14" s="13">
        <f>'Hypothèses'!$C$28/100</f>
        <v>0.03</v>
      </c>
      <c r="F14" s="10">
        <f>D14*E14</f>
        <v>100580.39999999999418</v>
      </c>
      <c r="G14" s="10">
        <f>I6</f>
        <v>4683300</v>
      </c>
      <c r="H14" s="13">
        <f>'Hypothèses'!$C$28/100</f>
        <v>0.03</v>
      </c>
      <c r="I14" s="10">
        <f>G14*H14</f>
        <v>140499</v>
      </c>
      <c r="J14" s="10">
        <f>L6</f>
        <v>5427000</v>
      </c>
      <c r="K14" s="13">
        <f>'Hypothèses'!$C$28/100</f>
        <v>0.03</v>
      </c>
      <c r="L14" s="10">
        <f>J14*K14</f>
        <v>162810</v>
      </c>
    </row>
    <row r="16" spans="1:12">
      <c r="A16" s="15" t="s">
        <v>298</v>
      </c>
      <c r="B16" s="16"/>
      <c r="C16" s="16"/>
      <c r="D16" s="16"/>
      <c r="E16" s="16"/>
      <c r="F16" s="17">
        <f>F7+F8+F9+F10+F11+F12+F13+F14</f>
        <v>5372089.65000000037253</v>
      </c>
      <c r="G16" s="16"/>
      <c r="H16" s="16"/>
      <c r="I16" s="17">
        <f>I7+I8+I9+I10+I11+I12+I13+I14</f>
        <v>5412008.25</v>
      </c>
      <c r="J16" s="16"/>
      <c r="K16" s="16"/>
      <c r="L16" s="17">
        <f>L7+L8+L9+L10+L11+L12+L13+L14</f>
        <v>5434319.25</v>
      </c>
    </row>
    <row r="17" spans="1:12">
      <c r="A17" s="1" t="s">
        <v>299</v>
      </c>
      <c r="F17" s="10">
        <f>F6-(F7+F8+F9+F10+F11+F12)</f>
        <v>-1684890</v>
      </c>
      <c r="I17" s="10">
        <f>I6-(I7+I8+I9+I10+I11+I12)</f>
        <v>-354270</v>
      </c>
      <c r="L17" s="10">
        <f>L6-(L7+L8+L9+L10+L11+L12)</f>
        <v>389430</v>
      </c>
    </row>
    <row r="18" spans="1:12">
      <c r="A18" s="1" t="s">
        <v>251</v>
      </c>
      <c r="F18" s="12">
        <f>F6-F16</f>
        <v>-2019409.65000000037253</v>
      </c>
      <c r="I18" s="12">
        <f>I6-I16</f>
        <v>-728708.25</v>
      </c>
      <c r="L18" s="12">
        <f>L6-L16</f>
        <v>-7319.25</v>
      </c>
    </row>
    <row r="19" spans="1:12">
      <c r="A19" s="1" t="s">
        <v>300</v>
      </c>
      <c r="F19" s="14">
        <f>F18/F6</f>
        <v>-0.60232698915494</v>
      </c>
      <c r="I19" s="14">
        <f>I18/I6</f>
        <v>-0.15559717506886</v>
      </c>
      <c r="L19" s="14">
        <f>L18/L6</f>
        <v>-0.0013486733001658</v>
      </c>
    </row>
    <row r="20" spans="1:12">
      <c r="A20" s="1" t="s">
        <v>301</v>
      </c>
      <c r="F20" s="10">
        <f>F7+(F18-'Hypothèses'!$C$33/100*F6)/((1+'Hypothèses'!$C$7/100)*(1+'Hypothèses'!$C$30/100*'Hypothèses'!$C$31/12))</f>
        <v>1775739.28571428544819</v>
      </c>
      <c r="I20" s="10">
        <f>I7+(I18-'Hypothèses'!$C$33/100*I6)/((1+'Hypothèses'!$C$7/100)*(1+'Hypothèses'!$C$30/100*'Hypothèses'!$C$31/12))</f>
        <v>2737916.0052910055965185</v>
      </c>
      <c r="L20" s="10">
        <f>L7+(L18-'Hypothèses'!$C$33/100*L6)/((1+'Hypothèses'!$C$7/100)*(1+'Hypothèses'!$C$30/100*'Hypothèses'!$C$31/12))</f>
        <v>3275688.49206349207088</v>
      </c>
    </row>
    <row r="21" spans="1:12">
      <c r="A21" s="1" t="s">
        <v>302</v>
      </c>
      <c r="F21" s="13">
        <f>F20/F7-1</f>
        <v>-0.55606517857143</v>
      </c>
      <c r="I21" s="13">
        <f>I20/I7-1</f>
        <v>-0.31552099867725</v>
      </c>
      <c r="L21" s="13">
        <f>L20/L7-1</f>
        <v>-0.18107787698413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304</v>
      </c>
      <c r="B6" t="s">
        <v>42</v>
      </c>
      <c r="C6" t="s">
        <v>305</v>
      </c>
      <c r="D6" s="11">
        <f>'Hypothèses'!$C$13+'Hypothèses'!$C$15</f>
        <v>525</v>
      </c>
      <c r="E6" s="12">
        <f>'Hypothèses'!$C$9</f>
        <v>8340</v>
      </c>
      <c r="F6" s="12">
        <f>D6*E6</f>
        <v>4378500</v>
      </c>
      <c r="G6" s="11">
        <f>'Hypothèses'!$C$13+'Hypothèses'!$C$15</f>
        <v>525</v>
      </c>
      <c r="H6" s="12">
        <f>'Hypothèses'!$C$10</f>
        <v>11650</v>
      </c>
      <c r="I6" s="12">
        <f>G6*H6</f>
        <v>6116250</v>
      </c>
      <c r="J6" s="11">
        <f>'Hypothèses'!$C$13+'Hypothèses'!$C$15</f>
        <v>525</v>
      </c>
      <c r="K6" s="12">
        <f>'Hypothèses'!$C$11</f>
        <v>13500</v>
      </c>
      <c r="L6" s="12">
        <f>J6*K6</f>
        <v>7087500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4000000</v>
      </c>
      <c r="F7" s="10">
        <f>D7*E7</f>
        <v>4000000</v>
      </c>
      <c r="G7" s="9">
        <f>1</f>
        <v>1</v>
      </c>
      <c r="H7" s="10">
        <f>'Hypothèses'!$C$6</f>
        <v>4000000</v>
      </c>
      <c r="I7" s="10">
        <f>G7*H7</f>
        <v>4000000</v>
      </c>
      <c r="J7" s="9">
        <f>1</f>
        <v>1</v>
      </c>
      <c r="K7" s="10">
        <f>'Hypothèses'!$C$6</f>
        <v>4000000</v>
      </c>
      <c r="L7" s="10">
        <f>J7*K7</f>
        <v>4000000</v>
      </c>
    </row>
    <row r="8" spans="1:12">
      <c r="A8" t="s">
        <v>289</v>
      </c>
      <c r="B8" t="s">
        <v>27</v>
      </c>
      <c r="C8" t="s">
        <v>290</v>
      </c>
      <c r="D8" s="10">
        <f>F7</f>
        <v>4000000</v>
      </c>
      <c r="E8" s="13">
        <f>'Hypothèses'!$C$7/100</f>
        <v>0.08</v>
      </c>
      <c r="F8" s="10">
        <f>D8*E8</f>
        <v>320000</v>
      </c>
      <c r="G8" s="10">
        <f>I7</f>
        <v>4000000</v>
      </c>
      <c r="H8" s="13">
        <f>'Hypothèses'!$C$7/100</f>
        <v>0.08</v>
      </c>
      <c r="I8" s="10">
        <f>G8*H8</f>
        <v>320000</v>
      </c>
      <c r="J8" s="10">
        <f>L7</f>
        <v>4000000</v>
      </c>
      <c r="K8" s="13">
        <f>'Hypothèses'!$C$7/100</f>
        <v>0.08</v>
      </c>
      <c r="L8" s="10">
        <f>J8*K8</f>
        <v>320000</v>
      </c>
    </row>
    <row r="9" spans="1:12">
      <c r="A9" t="s">
        <v>306</v>
      </c>
      <c r="B9" t="s">
        <v>42</v>
      </c>
      <c r="C9" t="s">
        <v>307</v>
      </c>
      <c r="D9" s="9">
        <f>'Hypothèses'!$C$15</f>
        <v>123</v>
      </c>
      <c r="E9" s="10">
        <f>'Hypothèses'!$C$18</f>
        <v>4000</v>
      </c>
      <c r="F9" s="10">
        <f>D9*E9</f>
        <v>492000</v>
      </c>
      <c r="G9" s="9">
        <f>'Hypothèses'!$C$15</f>
        <v>123</v>
      </c>
      <c r="H9" s="10">
        <f>'Hypothèses'!$C$18</f>
        <v>4000</v>
      </c>
      <c r="I9" s="10">
        <f>G9*H9</f>
        <v>492000</v>
      </c>
      <c r="J9" s="9">
        <f>'Hypothèses'!$C$15</f>
        <v>123</v>
      </c>
      <c r="K9" s="10">
        <f>'Hypothèses'!$C$18</f>
        <v>4000</v>
      </c>
      <c r="L9" s="10">
        <f>J9*K9</f>
        <v>492000</v>
      </c>
    </row>
    <row r="10" spans="1:12">
      <c r="A10" t="s">
        <v>308</v>
      </c>
      <c r="B10" t="s">
        <v>42</v>
      </c>
      <c r="C10" t="s">
        <v>309</v>
      </c>
      <c r="D10" s="9">
        <f>'Hypothèses'!$C$15</f>
        <v>123</v>
      </c>
      <c r="E10" s="10">
        <f>'Hypothèses'!$C$19</f>
        <v>300</v>
      </c>
      <c r="F10" s="10">
        <f>D10*E10</f>
        <v>36900</v>
      </c>
      <c r="G10" s="9">
        <f>'Hypothèses'!$C$15</f>
        <v>123</v>
      </c>
      <c r="H10" s="10">
        <f>'Hypothèses'!$C$19</f>
        <v>300</v>
      </c>
      <c r="I10" s="10">
        <f>G10*H10</f>
        <v>36900</v>
      </c>
      <c r="J10" s="9">
        <f>'Hypothèses'!$C$15</f>
        <v>123</v>
      </c>
      <c r="K10" s="10">
        <f>'Hypothèses'!$C$19</f>
        <v>300</v>
      </c>
      <c r="L10" s="10">
        <f>J10*K10</f>
        <v>36900</v>
      </c>
    </row>
    <row r="11" spans="1:12">
      <c r="A11" t="s">
        <v>56</v>
      </c>
      <c r="B11" t="s">
        <v>27</v>
      </c>
      <c r="C11" t="s">
        <v>294</v>
      </c>
      <c r="D11" s="10">
        <f>F9</f>
        <v>492000</v>
      </c>
      <c r="E11" s="13">
        <f>'Hypothèses'!$C$21/100</f>
        <v>0.08</v>
      </c>
      <c r="F11" s="10">
        <f>D11*E11</f>
        <v>39360</v>
      </c>
      <c r="G11" s="10">
        <f>I9</f>
        <v>492000</v>
      </c>
      <c r="H11" s="13">
        <f>'Hypothèses'!$C$21/100</f>
        <v>0.08</v>
      </c>
      <c r="I11" s="10">
        <f>G11*H11</f>
        <v>39360</v>
      </c>
      <c r="J11" s="10">
        <f>L9</f>
        <v>492000</v>
      </c>
      <c r="K11" s="13">
        <f>'Hypothèses'!$C$21/100</f>
        <v>0.08</v>
      </c>
      <c r="L11" s="10">
        <f>J11*K11</f>
        <v>39360</v>
      </c>
    </row>
    <row r="12" spans="1:12">
      <c r="A12" t="s">
        <v>310</v>
      </c>
      <c r="B12" t="s">
        <v>27</v>
      </c>
      <c r="C12" t="s">
        <v>311</v>
      </c>
      <c r="D12" s="10">
        <f>F9+F10+F11</f>
        <v>568260</v>
      </c>
      <c r="E12" s="13">
        <f>'Hypothèses'!$C$22/100</f>
        <v>0.12</v>
      </c>
      <c r="F12" s="10">
        <f>D12*E12</f>
        <v>68191.19999999999709</v>
      </c>
      <c r="G12" s="10">
        <f>I9+I10+I11</f>
        <v>568260</v>
      </c>
      <c r="H12" s="13">
        <f>'Hypothèses'!$C$22/100</f>
        <v>0.12</v>
      </c>
      <c r="I12" s="10">
        <f>G12*H12</f>
        <v>68191.19999999999709</v>
      </c>
      <c r="J12" s="10">
        <f>L9+L10+L11</f>
        <v>568260</v>
      </c>
      <c r="K12" s="13">
        <f>'Hypothèses'!$C$22/100</f>
        <v>0.12</v>
      </c>
      <c r="L12" s="10">
        <f>J12*K12</f>
        <v>68191.19999999999709</v>
      </c>
    </row>
    <row r="13" spans="1:12">
      <c r="A13" t="s">
        <v>128</v>
      </c>
      <c r="B13" t="s">
        <v>42</v>
      </c>
      <c r="C13" t="s">
        <v>312</v>
      </c>
      <c r="D13" s="9">
        <f>'Hypothèses'!$C$15</f>
        <v>123</v>
      </c>
      <c r="E13" s="10">
        <f>'Hypothèses'!$C$24*'Hypothèses'!$C$25/100</f>
        <v>75</v>
      </c>
      <c r="F13" s="10">
        <f>D13*E13</f>
        <v>9225</v>
      </c>
      <c r="G13" s="9">
        <f>'Hypothèses'!$C$15</f>
        <v>123</v>
      </c>
      <c r="H13" s="10">
        <f>'Hypothèses'!$C$24*'Hypothèses'!$C$25/100</f>
        <v>75</v>
      </c>
      <c r="I13" s="10">
        <f>G13*H13</f>
        <v>9225</v>
      </c>
      <c r="J13" s="9">
        <f>'Hypothèses'!$C$15</f>
        <v>123</v>
      </c>
      <c r="K13" s="10">
        <f>'Hypothèses'!$C$24*'Hypothèses'!$C$25/100</f>
        <v>75</v>
      </c>
      <c r="L13" s="10">
        <f>J13*K13</f>
        <v>9225</v>
      </c>
    </row>
    <row r="14" spans="1:12">
      <c r="A14" t="s">
        <v>66</v>
      </c>
      <c r="B14" t="s">
        <v>27</v>
      </c>
      <c r="C14" t="s">
        <v>294</v>
      </c>
      <c r="D14" s="10">
        <f>F9+F10</f>
        <v>528900</v>
      </c>
      <c r="E14" s="13">
        <f>'Hypothèses'!$C$26/100</f>
        <v>0.03</v>
      </c>
      <c r="F14" s="10">
        <f>D14*E14</f>
        <v>15867</v>
      </c>
      <c r="G14" s="10">
        <f>I9+I10</f>
        <v>528900</v>
      </c>
      <c r="H14" s="13">
        <f>'Hypothèses'!$C$26/100</f>
        <v>0.03</v>
      </c>
      <c r="I14" s="10">
        <f>G14*H14</f>
        <v>15867</v>
      </c>
      <c r="J14" s="10">
        <f>L9+L10</f>
        <v>528900</v>
      </c>
      <c r="K14" s="13">
        <f>'Hypothèses'!$C$26/100</f>
        <v>0.03</v>
      </c>
      <c r="L14" s="10">
        <f>J14*K14</f>
        <v>15867</v>
      </c>
    </row>
    <row r="15" spans="1:12">
      <c r="A15" t="s">
        <v>67</v>
      </c>
      <c r="B15" t="s">
        <v>27</v>
      </c>
      <c r="C15" t="s">
        <v>294</v>
      </c>
      <c r="D15" s="10">
        <f>F9+F10+F11</f>
        <v>568260</v>
      </c>
      <c r="E15" s="13">
        <f>'Hypothèses'!$C$27/100</f>
        <v>0.1</v>
      </c>
      <c r="F15" s="10">
        <f>D15*E15</f>
        <v>56826</v>
      </c>
      <c r="G15" s="10">
        <f>I9+I10+I11</f>
        <v>568260</v>
      </c>
      <c r="H15" s="13">
        <f>'Hypothèses'!$C$27/100</f>
        <v>0.1</v>
      </c>
      <c r="I15" s="10">
        <f>G15*H15</f>
        <v>56826</v>
      </c>
      <c r="J15" s="10">
        <f>L9+L10+L11</f>
        <v>568260</v>
      </c>
      <c r="K15" s="13">
        <f>'Hypothèses'!$C$27/100</f>
        <v>0.1</v>
      </c>
      <c r="L15" s="10">
        <f>J15*K15</f>
        <v>56826</v>
      </c>
    </row>
    <row r="16" spans="1:12">
      <c r="A16" t="s">
        <v>295</v>
      </c>
      <c r="B16" t="s">
        <v>27</v>
      </c>
      <c r="C16" t="s">
        <v>296</v>
      </c>
      <c r="D16" s="10">
        <f>F7+F8+0.5*(F9+F10+F11+F12+F14+F15)</f>
        <v>4674572.099999999627471</v>
      </c>
      <c r="E16" s="13">
        <f>'Hypothèses'!$C$30/100*'Hypothèses'!$C$32/12</f>
        <v>0.083333333333333</v>
      </c>
      <c r="F16" s="10">
        <f>D16*E16</f>
        <v>389547.67499999993015</v>
      </c>
      <c r="G16" s="10">
        <f>I7+I8+0.5*(I9+I10+I11+I12+I14+I15)</f>
        <v>4674572.099999999627471</v>
      </c>
      <c r="H16" s="13">
        <f>'Hypothèses'!$C$30/100*'Hypothèses'!$C$32/12</f>
        <v>0.083333333333333</v>
      </c>
      <c r="I16" s="10">
        <f>G16*H16</f>
        <v>389547.67499999993015</v>
      </c>
      <c r="J16" s="10">
        <f>L7+L8+0.5*(L9+L10+L11+L12+L14+L15)</f>
        <v>4674572.099999999627471</v>
      </c>
      <c r="K16" s="13">
        <f>'Hypothèses'!$C$30/100*'Hypothèses'!$C$32/12</f>
        <v>0.083333333333333</v>
      </c>
      <c r="L16" s="10">
        <f>J16*K16</f>
        <v>389547.67499999993015</v>
      </c>
    </row>
    <row r="17" spans="1:12">
      <c r="A17" t="s">
        <v>69</v>
      </c>
      <c r="B17" t="s">
        <v>27</v>
      </c>
      <c r="C17" t="s">
        <v>297</v>
      </c>
      <c r="D17" s="10">
        <f>F6</f>
        <v>4378500</v>
      </c>
      <c r="E17" s="13">
        <f>'Hypothèses'!$C$28/100</f>
        <v>0.03</v>
      </c>
      <c r="F17" s="10">
        <f>D17*E17</f>
        <v>131355</v>
      </c>
      <c r="G17" s="10">
        <f>I6</f>
        <v>6116250</v>
      </c>
      <c r="H17" s="13">
        <f>'Hypothèses'!$C$28/100</f>
        <v>0.03</v>
      </c>
      <c r="I17" s="10">
        <f>G17*H17</f>
        <v>183487.5</v>
      </c>
      <c r="J17" s="10">
        <f>L6</f>
        <v>7087500</v>
      </c>
      <c r="K17" s="13">
        <f>'Hypothèses'!$C$28/100</f>
        <v>0.03</v>
      </c>
      <c r="L17" s="10">
        <f>J17*K17</f>
        <v>212625</v>
      </c>
    </row>
    <row r="19" spans="1:12">
      <c r="A19" s="15" t="s">
        <v>298</v>
      </c>
      <c r="B19" s="16"/>
      <c r="C19" s="16"/>
      <c r="D19" s="16"/>
      <c r="E19" s="16"/>
      <c r="F19" s="17">
        <f>F7+F8+F9+F10+F11+F12+F13+F14+F15+F16+F17</f>
        <v>5559271.875</v>
      </c>
      <c r="G19" s="16"/>
      <c r="H19" s="16"/>
      <c r="I19" s="17">
        <f>I7+I8+I9+I10+I11+I12+I13+I14+I15+I16+I17</f>
        <v>5611404.375</v>
      </c>
      <c r="J19" s="16"/>
      <c r="K19" s="16"/>
      <c r="L19" s="17">
        <f>L7+L8+L9+L10+L11+L12+L13+L14+L15+L16+L17</f>
        <v>5640541.875</v>
      </c>
    </row>
    <row r="20" spans="1:12">
      <c r="A20" s="1" t="s">
        <v>299</v>
      </c>
      <c r="F20" s="10">
        <f>F6-(F7+F8+F9+F10+F11+F12+F13+F14+F15)</f>
        <v>-659869.20000000018626</v>
      </c>
      <c r="I20" s="10">
        <f>I6-(I7+I8+I9+I10+I11+I12+I13+I14+I15)</f>
        <v>1077880.79999999981374</v>
      </c>
      <c r="L20" s="10">
        <f>L6-(L7+L8+L9+L10+L11+L12+L13+L14+L15)</f>
        <v>2049130.79999999981374</v>
      </c>
    </row>
    <row r="21" spans="1:12">
      <c r="A21" s="1" t="s">
        <v>251</v>
      </c>
      <c r="F21" s="12">
        <f>F6-F19</f>
        <v>-1180771.875</v>
      </c>
      <c r="I21" s="12">
        <f>I6-I19</f>
        <v>504845.625</v>
      </c>
      <c r="L21" s="12">
        <f>L6-L19</f>
        <v>1446958.125</v>
      </c>
    </row>
    <row r="22" spans="1:12">
      <c r="A22" s="1" t="s">
        <v>300</v>
      </c>
      <c r="F22" s="14">
        <f>F21/F6</f>
        <v>-0.26967497430627</v>
      </c>
      <c r="I22" s="14">
        <f>I21/I6</f>
        <v>0.082541692213366</v>
      </c>
      <c r="L22" s="14">
        <f>L21/L6</f>
        <v>0.20415634920635</v>
      </c>
    </row>
    <row r="23" spans="1:12">
      <c r="A23" s="1" t="s">
        <v>301</v>
      </c>
      <c r="F23" s="10">
        <f>F7+(F21-'Hypothèses'!$C$33/100*F6)/((1+'Hypothèses'!$C$7/100)*(1+'Hypothèses'!$C$30/100*'Hypothèses'!$C$32/12))</f>
        <v>2429447.11538461502641</v>
      </c>
      <c r="I23" s="10">
        <f>I7+(I21-'Hypothèses'!$C$33/100*I6)/((1+'Hypothèses'!$C$7/100)*(1+'Hypothèses'!$C$30/100*'Hypothèses'!$C$32/12))</f>
        <v>3647357.37179487198591</v>
      </c>
      <c r="L23" s="10">
        <f>L7+(L21-'Hypothèses'!$C$33/100*L6)/((1+'Hypothèses'!$C$7/100)*(1+'Hypothèses'!$C$30/100*'Hypothèses'!$C$32/12))</f>
        <v>4328062.5</v>
      </c>
    </row>
    <row r="24" spans="1:12">
      <c r="A24" s="1" t="s">
        <v>302</v>
      </c>
      <c r="F24" s="13">
        <f>F23/F7-1</f>
        <v>-0.39263822115385</v>
      </c>
      <c r="I24" s="13">
        <f>I23/I7-1</f>
        <v>-0.088160657051282</v>
      </c>
      <c r="L24" s="13">
        <f>L23/L7-1</f>
        <v>0.082015625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266</v>
      </c>
    </row>
    <row r="2" spans="1:12" customHeight="1" ht="48">
      <c r="A2" s="7" t="s">
        <v>313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314</v>
      </c>
      <c r="B6" t="s">
        <v>42</v>
      </c>
      <c r="C6" t="s">
        <v>315</v>
      </c>
      <c r="D6" s="11">
        <f>'Hypothèses'!$C$13+'Hypothèses'!$C$14</f>
        <v>482</v>
      </c>
      <c r="E6" s="12">
        <f>'Hypothèses'!$C$9</f>
        <v>8340</v>
      </c>
      <c r="F6" s="12">
        <f>D6*E6</f>
        <v>4019880</v>
      </c>
      <c r="G6" s="11">
        <f>'Hypothèses'!$C$13+'Hypothèses'!$C$14</f>
        <v>482</v>
      </c>
      <c r="H6" s="12">
        <f>'Hypothèses'!$C$10</f>
        <v>11650</v>
      </c>
      <c r="I6" s="12">
        <f>G6*H6</f>
        <v>5615300</v>
      </c>
      <c r="J6" s="11">
        <f>'Hypothèses'!$C$13+'Hypothèses'!$C$14</f>
        <v>482</v>
      </c>
      <c r="K6" s="12">
        <f>'Hypothèses'!$C$11</f>
        <v>13500</v>
      </c>
      <c r="L6" s="12">
        <f>J6*K6</f>
        <v>6507000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4000000</v>
      </c>
      <c r="F7" s="10">
        <f>D7*E7</f>
        <v>4000000</v>
      </c>
      <c r="G7" s="9">
        <f>1</f>
        <v>1</v>
      </c>
      <c r="H7" s="10">
        <f>'Hypothèses'!$C$6</f>
        <v>4000000</v>
      </c>
      <c r="I7" s="10">
        <f>G7*H7</f>
        <v>4000000</v>
      </c>
      <c r="J7" s="9">
        <f>1</f>
        <v>1</v>
      </c>
      <c r="K7" s="10">
        <f>'Hypothèses'!$C$6</f>
        <v>4000000</v>
      </c>
      <c r="L7" s="10">
        <f>J7*K7</f>
        <v>4000000</v>
      </c>
    </row>
    <row r="8" spans="1:12">
      <c r="A8" t="s">
        <v>289</v>
      </c>
      <c r="B8" t="s">
        <v>27</v>
      </c>
      <c r="C8" t="s">
        <v>290</v>
      </c>
      <c r="D8" s="10">
        <f>F7</f>
        <v>4000000</v>
      </c>
      <c r="E8" s="13">
        <f>'Hypothèses'!$C$7/100</f>
        <v>0.08</v>
      </c>
      <c r="F8" s="10">
        <f>D8*E8</f>
        <v>320000</v>
      </c>
      <c r="G8" s="10">
        <f>I7</f>
        <v>4000000</v>
      </c>
      <c r="H8" s="13">
        <f>'Hypothèses'!$C$7/100</f>
        <v>0.08</v>
      </c>
      <c r="I8" s="10">
        <f>G8*H8</f>
        <v>320000</v>
      </c>
      <c r="J8" s="10">
        <f>L7</f>
        <v>4000000</v>
      </c>
      <c r="K8" s="13">
        <f>'Hypothèses'!$C$7/100</f>
        <v>0.08</v>
      </c>
      <c r="L8" s="10">
        <f>J8*K8</f>
        <v>320000</v>
      </c>
    </row>
    <row r="9" spans="1:12">
      <c r="A9" t="s">
        <v>316</v>
      </c>
      <c r="B9" t="s">
        <v>42</v>
      </c>
      <c r="C9" t="s">
        <v>292</v>
      </c>
      <c r="D9" s="9">
        <f>'Hypothèses'!$C$13</f>
        <v>402</v>
      </c>
      <c r="E9" s="10">
        <f>'Hypothèses'!$C$17</f>
        <v>1500</v>
      </c>
      <c r="F9" s="10">
        <f>D9*E9</f>
        <v>603000</v>
      </c>
      <c r="G9" s="9">
        <f>'Hypothèses'!$C$13</f>
        <v>402</v>
      </c>
      <c r="H9" s="10">
        <f>'Hypothèses'!$C$17</f>
        <v>1500</v>
      </c>
      <c r="I9" s="10">
        <f>G9*H9</f>
        <v>603000</v>
      </c>
      <c r="J9" s="9">
        <f>'Hypothèses'!$C$13</f>
        <v>402</v>
      </c>
      <c r="K9" s="10">
        <f>'Hypothèses'!$C$17</f>
        <v>1500</v>
      </c>
      <c r="L9" s="10">
        <f>J9*K9</f>
        <v>603000</v>
      </c>
    </row>
    <row r="10" spans="1:12">
      <c r="A10" t="s">
        <v>306</v>
      </c>
      <c r="B10" t="s">
        <v>42</v>
      </c>
      <c r="C10" t="s">
        <v>307</v>
      </c>
      <c r="D10" s="9">
        <f>'Hypothèses'!$C$14</f>
        <v>80</v>
      </c>
      <c r="E10" s="10">
        <f>'Hypothèses'!$C$18</f>
        <v>4000</v>
      </c>
      <c r="F10" s="10">
        <f>D10*E10</f>
        <v>320000</v>
      </c>
      <c r="G10" s="9">
        <f>'Hypothèses'!$C$14</f>
        <v>80</v>
      </c>
      <c r="H10" s="10">
        <f>'Hypothèses'!$C$18</f>
        <v>4000</v>
      </c>
      <c r="I10" s="10">
        <f>G10*H10</f>
        <v>320000</v>
      </c>
      <c r="J10" s="9">
        <f>'Hypothèses'!$C$14</f>
        <v>80</v>
      </c>
      <c r="K10" s="10">
        <f>'Hypothèses'!$C$18</f>
        <v>4000</v>
      </c>
      <c r="L10" s="10">
        <f>J10*K10</f>
        <v>320000</v>
      </c>
    </row>
    <row r="11" spans="1:12">
      <c r="A11" t="s">
        <v>308</v>
      </c>
      <c r="B11" t="s">
        <v>42</v>
      </c>
      <c r="C11" t="s">
        <v>309</v>
      </c>
      <c r="D11" s="9">
        <f>'Hypothèses'!$C$14</f>
        <v>80</v>
      </c>
      <c r="E11" s="10">
        <f>'Hypothèses'!$C$19</f>
        <v>300</v>
      </c>
      <c r="F11" s="10">
        <f>D11*E11</f>
        <v>24000</v>
      </c>
      <c r="G11" s="9">
        <f>'Hypothèses'!$C$14</f>
        <v>80</v>
      </c>
      <c r="H11" s="10">
        <f>'Hypothèses'!$C$19</f>
        <v>300</v>
      </c>
      <c r="I11" s="10">
        <f>G11*H11</f>
        <v>24000</v>
      </c>
      <c r="J11" s="9">
        <f>'Hypothèses'!$C$14</f>
        <v>80</v>
      </c>
      <c r="K11" s="10">
        <f>'Hypothèses'!$C$19</f>
        <v>300</v>
      </c>
      <c r="L11" s="10">
        <f>J11*K11</f>
        <v>24000</v>
      </c>
    </row>
    <row r="12" spans="1:12">
      <c r="A12" t="s">
        <v>56</v>
      </c>
      <c r="B12" t="s">
        <v>27</v>
      </c>
      <c r="C12" t="s">
        <v>317</v>
      </c>
      <c r="D12" s="10">
        <f>F10</f>
        <v>320000</v>
      </c>
      <c r="E12" s="13">
        <f>'Hypothèses'!$C$21/100</f>
        <v>0.08</v>
      </c>
      <c r="F12" s="10">
        <f>D12*E12</f>
        <v>25600</v>
      </c>
      <c r="G12" s="10">
        <f>I10</f>
        <v>320000</v>
      </c>
      <c r="H12" s="13">
        <f>'Hypothèses'!$C$21/100</f>
        <v>0.08</v>
      </c>
      <c r="I12" s="10">
        <f>G12*H12</f>
        <v>25600</v>
      </c>
      <c r="J12" s="10">
        <f>L10</f>
        <v>320000</v>
      </c>
      <c r="K12" s="13">
        <f>'Hypothèses'!$C$21/100</f>
        <v>0.08</v>
      </c>
      <c r="L12" s="10">
        <f>J12*K12</f>
        <v>25600</v>
      </c>
    </row>
    <row r="13" spans="1:12">
      <c r="A13" t="s">
        <v>310</v>
      </c>
      <c r="B13" t="s">
        <v>27</v>
      </c>
      <c r="C13" t="s">
        <v>318</v>
      </c>
      <c r="D13" s="10">
        <f>F9+F10+F11+F12</f>
        <v>972600</v>
      </c>
      <c r="E13" s="13">
        <f>'Hypothèses'!$C$22/100</f>
        <v>0.12</v>
      </c>
      <c r="F13" s="10">
        <f>D13*E13</f>
        <v>116712</v>
      </c>
      <c r="G13" s="10">
        <f>I9+I10+I11+I12</f>
        <v>972600</v>
      </c>
      <c r="H13" s="13">
        <f>'Hypothèses'!$C$22/100</f>
        <v>0.12</v>
      </c>
      <c r="I13" s="10">
        <f>G13*H13</f>
        <v>116712</v>
      </c>
      <c r="J13" s="10">
        <f>L9+L10+L11+L12</f>
        <v>972600</v>
      </c>
      <c r="K13" s="13">
        <f>'Hypothèses'!$C$22/100</f>
        <v>0.12</v>
      </c>
      <c r="L13" s="10">
        <f>J13*K13</f>
        <v>116712</v>
      </c>
    </row>
    <row r="14" spans="1:12">
      <c r="A14" t="s">
        <v>128</v>
      </c>
      <c r="B14" t="s">
        <v>42</v>
      </c>
      <c r="C14" t="s">
        <v>312</v>
      </c>
      <c r="D14" s="9">
        <f>'Hypothèses'!$C$14</f>
        <v>80</v>
      </c>
      <c r="E14" s="10">
        <f>'Hypothèses'!$C$24*'Hypothèses'!$C$25/100</f>
        <v>75</v>
      </c>
      <c r="F14" s="10">
        <f>D14*E14</f>
        <v>6000</v>
      </c>
      <c r="G14" s="9">
        <f>'Hypothèses'!$C$14</f>
        <v>80</v>
      </c>
      <c r="H14" s="10">
        <f>'Hypothèses'!$C$24*'Hypothèses'!$C$25/100</f>
        <v>75</v>
      </c>
      <c r="I14" s="10">
        <f>G14*H14</f>
        <v>6000</v>
      </c>
      <c r="J14" s="9">
        <f>'Hypothèses'!$C$14</f>
        <v>80</v>
      </c>
      <c r="K14" s="10">
        <f>'Hypothèses'!$C$24*'Hypothèses'!$C$25/100</f>
        <v>75</v>
      </c>
      <c r="L14" s="10">
        <f>J14*K14</f>
        <v>6000</v>
      </c>
    </row>
    <row r="15" spans="1:12">
      <c r="A15" t="s">
        <v>66</v>
      </c>
      <c r="B15" t="s">
        <v>27</v>
      </c>
      <c r="C15" t="s">
        <v>294</v>
      </c>
      <c r="D15" s="10">
        <f>F9+F10+F11</f>
        <v>947000</v>
      </c>
      <c r="E15" s="13">
        <f>'Hypothèses'!$C$26/100</f>
        <v>0.03</v>
      </c>
      <c r="F15" s="10">
        <f>D15*E15</f>
        <v>28410</v>
      </c>
      <c r="G15" s="10">
        <f>I9+I10+I11</f>
        <v>947000</v>
      </c>
      <c r="H15" s="13">
        <f>'Hypothèses'!$C$26/100</f>
        <v>0.03</v>
      </c>
      <c r="I15" s="10">
        <f>G15*H15</f>
        <v>28410</v>
      </c>
      <c r="J15" s="10">
        <f>L9+L10+L11</f>
        <v>947000</v>
      </c>
      <c r="K15" s="13">
        <f>'Hypothèses'!$C$26/100</f>
        <v>0.03</v>
      </c>
      <c r="L15" s="10">
        <f>J15*K15</f>
        <v>28410</v>
      </c>
    </row>
    <row r="16" spans="1:12">
      <c r="A16" t="s">
        <v>67</v>
      </c>
      <c r="B16" t="s">
        <v>27</v>
      </c>
      <c r="C16" t="s">
        <v>294</v>
      </c>
      <c r="D16" s="10">
        <f>F9+F10+F11+F12</f>
        <v>972600</v>
      </c>
      <c r="E16" s="13">
        <f>'Hypothèses'!$C$27/100</f>
        <v>0.1</v>
      </c>
      <c r="F16" s="10">
        <f>D16*E16</f>
        <v>97260</v>
      </c>
      <c r="G16" s="10">
        <f>I9+I10+I11+I12</f>
        <v>972600</v>
      </c>
      <c r="H16" s="13">
        <f>'Hypothèses'!$C$27/100</f>
        <v>0.1</v>
      </c>
      <c r="I16" s="10">
        <f>G16*H16</f>
        <v>97260</v>
      </c>
      <c r="J16" s="10">
        <f>L9+L10+L11+L12</f>
        <v>972600</v>
      </c>
      <c r="K16" s="13">
        <f>'Hypothèses'!$C$27/100</f>
        <v>0.1</v>
      </c>
      <c r="L16" s="10">
        <f>J16*K16</f>
        <v>97260</v>
      </c>
    </row>
    <row r="17" spans="1:12">
      <c r="A17" t="s">
        <v>295</v>
      </c>
      <c r="B17" t="s">
        <v>27</v>
      </c>
      <c r="C17" t="s">
        <v>296</v>
      </c>
      <c r="D17" s="10">
        <f>F7+F8+0.5*(F9+F10+F11+F12+F13+F15+F16)</f>
        <v>4927491</v>
      </c>
      <c r="E17" s="13">
        <f>'Hypothèses'!$C$30/100*'Hypothèses'!$C$32/12</f>
        <v>0.083333333333333</v>
      </c>
      <c r="F17" s="10">
        <f>D17*E17</f>
        <v>410624.25</v>
      </c>
      <c r="G17" s="10">
        <f>I7+I8+0.5*(I9+I10+I11+I12+I13+I15+I16)</f>
        <v>4927491</v>
      </c>
      <c r="H17" s="13">
        <f>'Hypothèses'!$C$30/100*'Hypothèses'!$C$32/12</f>
        <v>0.083333333333333</v>
      </c>
      <c r="I17" s="10">
        <f>G17*H17</f>
        <v>410624.25</v>
      </c>
      <c r="J17" s="10">
        <f>L7+L8+0.5*(L9+L10+L11+L12+L13+L15+L16)</f>
        <v>4927491</v>
      </c>
      <c r="K17" s="13">
        <f>'Hypothèses'!$C$30/100*'Hypothèses'!$C$32/12</f>
        <v>0.083333333333333</v>
      </c>
      <c r="L17" s="10">
        <f>J17*K17</f>
        <v>410624.25</v>
      </c>
    </row>
    <row r="18" spans="1:12">
      <c r="A18" t="s">
        <v>69</v>
      </c>
      <c r="B18" t="s">
        <v>27</v>
      </c>
      <c r="C18" t="s">
        <v>297</v>
      </c>
      <c r="D18" s="10">
        <f>F6</f>
        <v>4019880</v>
      </c>
      <c r="E18" s="13">
        <f>'Hypothèses'!$C$28/100</f>
        <v>0.03</v>
      </c>
      <c r="F18" s="10">
        <f>D18*E18</f>
        <v>120596.39999999999418</v>
      </c>
      <c r="G18" s="10">
        <f>I6</f>
        <v>5615300</v>
      </c>
      <c r="H18" s="13">
        <f>'Hypothèses'!$C$28/100</f>
        <v>0.03</v>
      </c>
      <c r="I18" s="10">
        <f>G18*H18</f>
        <v>168459</v>
      </c>
      <c r="J18" s="10">
        <f>L6</f>
        <v>6507000</v>
      </c>
      <c r="K18" s="13">
        <f>'Hypothèses'!$C$28/100</f>
        <v>0.03</v>
      </c>
      <c r="L18" s="10">
        <f>J18*K18</f>
        <v>195210</v>
      </c>
    </row>
    <row r="20" spans="1:12">
      <c r="A20" s="15" t="s">
        <v>298</v>
      </c>
      <c r="B20" s="16"/>
      <c r="C20" s="16"/>
      <c r="D20" s="16"/>
      <c r="E20" s="16"/>
      <c r="F20" s="17">
        <f>F7+F8+F9+F10+F11+F12+F13+F14+F15+F16+F17+F18</f>
        <v>6072202.65000000037253</v>
      </c>
      <c r="G20" s="16"/>
      <c r="H20" s="16"/>
      <c r="I20" s="17">
        <f>I7+I8+I9+I10+I11+I12+I13+I14+I15+I16+I17+I18</f>
        <v>6120065.25</v>
      </c>
      <c r="J20" s="16"/>
      <c r="K20" s="16"/>
      <c r="L20" s="17">
        <f>L7+L8+L9+L10+L11+L12+L13+L14+L15+L16+L17+L18</f>
        <v>6146816.25</v>
      </c>
    </row>
    <row r="21" spans="1:12">
      <c r="A21" s="1" t="s">
        <v>299</v>
      </c>
      <c r="F21" s="10">
        <f>F6-(F7+F8+F9+F10+F11+F12+F13+F14+F15+F16)</f>
        <v>-1521102</v>
      </c>
      <c r="I21" s="10">
        <f>I6-(I7+I8+I9+I10+I11+I12+I13+I14+I15+I16)</f>
        <v>74318</v>
      </c>
      <c r="L21" s="10">
        <f>L6-(L7+L8+L9+L10+L11+L12+L13+L14+L15+L16)</f>
        <v>966018</v>
      </c>
    </row>
    <row r="22" spans="1:12">
      <c r="A22" s="1" t="s">
        <v>251</v>
      </c>
      <c r="F22" s="12">
        <f>F6-F20</f>
        <v>-2052322.65000000037253</v>
      </c>
      <c r="I22" s="12">
        <f>I6-I20</f>
        <v>-504765.25</v>
      </c>
      <c r="L22" s="12">
        <f>L6-L20</f>
        <v>360183.75</v>
      </c>
    </row>
    <row r="23" spans="1:12">
      <c r="A23" s="1" t="s">
        <v>300</v>
      </c>
      <c r="F23" s="14">
        <f>F22/F6</f>
        <v>-0.51054326248545</v>
      </c>
      <c r="I23" s="14">
        <f>I22/I6</f>
        <v>-0.089891056577565</v>
      </c>
      <c r="L23" s="14">
        <f>L22/L6</f>
        <v>0.055353273397879</v>
      </c>
    </row>
    <row r="24" spans="1:12">
      <c r="A24" s="1" t="s">
        <v>301</v>
      </c>
      <c r="F24" s="10">
        <f>F7+(F22-'Hypothèses'!$C$33/100*F6)/((1+'Hypothèses'!$C$7/100)*(1+'Hypothèses'!$C$30/100*'Hypothèses'!$C$32/12))</f>
        <v>1730508.8461538455449</v>
      </c>
      <c r="I24" s="10">
        <f>I7+(I22-'Hypothèses'!$C$33/100*I6)/((1+'Hypothèses'!$C$7/100)*(1+'Hypothèses'!$C$30/100*'Hypothèses'!$C$32/12))</f>
        <v>2848666.45299145299941</v>
      </c>
      <c r="L24" s="10">
        <f>L7+(L22-'Hypothèses'!$C$33/100*L6)/((1+'Hypothèses'!$C$7/100)*(1+'Hypothèses'!$C$30/100*'Hypothèses'!$C$32/12))</f>
        <v>3473618.58974358998239</v>
      </c>
    </row>
    <row r="25" spans="1:12">
      <c r="A25" s="1" t="s">
        <v>302</v>
      </c>
      <c r="F25" s="13">
        <f>F24/F7-1</f>
        <v>-0.56737278846154</v>
      </c>
      <c r="I25" s="13">
        <f>I24/I7-1</f>
        <v>-0.28783338675214</v>
      </c>
      <c r="L25" s="13">
        <f>L24/L7-1</f>
        <v>-0.1315953525641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2026-10-23T12:26:14+00:00</dcterms:created>
  <dcterms:modified xsi:type="dcterms:W3CDTF">2026-10-23T12:26:14+00:00</dcterms:modified>
  <dc:title>Untitled Spreadsheet</dc:title>
  <dc:description/>
  <dc:subject/>
  <cp:keywords/>
  <cp:category/>
</cp:coreProperties>
</file>