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<sst xmlns="http://schemas.openxmlformats.org/spreadsheetml/2006/main" uniqueCount="203">
  <si>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409024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</si>
  <si>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</si>
  <si>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</si>
  <si>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</si>
  <si>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</si>
  <si>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</si>
  <si>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</si>
  <si>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</si>
  <si>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</si>
  <si>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</si>
  <si>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</si>
  <si>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</si>
  <si>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</si>
  <si>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</si>
  <si>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</si>
  <si>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</si>
  <si>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</si>
  <si>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</si>
  <si>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</si>
  <si>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</si>
  <si>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</si>
  <si>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</si>
  <si>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</si>
  <si>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</si>
  <si>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</si>
  <si>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</si>
  <si>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</si>
  <si>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</si>
  <si>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</si>
  <si>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</si>
  <si>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</si>
  <si>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</si>
  <si>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</si>
  <si>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</si>
  <si>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</si>
  <si>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</si>
  <si>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</si>
  <si>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</si>
  <si>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</si>
  <si>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</si>
  <si>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</si>
  <si>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</si>
  <si>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</si>
  <si>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</si>
  <si>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</si>
  <si>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</si>
  <si>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</si>
  <si>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</si>
  <si>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</si>
  <si>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</si>
  <si>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</si>
  <si>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</si>
  <si>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</si>
  <si>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</si>
  <si>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</si>
  <si>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</si>
  <si>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</si>
  <si>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</si>
  <si>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</si>
  <si>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</si>
  <si>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</si>
  <si>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</si>
  <si>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</si>
  <si>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</si>
  <si>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</si>
  <si>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</si>
  <si>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</si>
  <si>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</si>
  <si>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</si>
  <si>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</si>
  <si>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</si>
  <si>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</si>
  <si>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</si>
  <si>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</si>
  <si>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</si>
  <si>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</si>
  <si>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</si>
  <si>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</si>
  <si>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</si>
  <si>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</si>
  <si>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</si>
  <si>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</si>
  <si>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</si>
  <si>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</si>
  <si>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</si>
  <si>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</si>
  <si>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</si>
  <si>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</si>
  <si>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</si>
  <si>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</si>
  <si>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</si>
  <si>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</si>
  <si>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</si>
  <si>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</si>
  <si>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</si>
  <si>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</si>
  <si>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</si>
  <si>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</si>
  <si>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(739 000 €)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</si>
  <si>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</si>
  <si>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</si>
  <si>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</si>
  <si>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</si>
  <si>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</si>
  <si>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</si>
  <si>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</si>
  <si>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</si>
  <si>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</si>
  <si>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</si>
  <si>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</si>
  <si>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</si>
  <si>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</si>
  <si>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</si>
  <si>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</si>
  <si>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</si>
  <si>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</si>
  <si>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</si>
  <si>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</si>
  <si>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</si>
  <si>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</si>
  <si>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</si>
  <si>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</si>
  <si>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</si>
  <si>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</si>
  <si>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</si>
  <si>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</si>
  <si>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</si>
  <si>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</si>
  <si>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</si>
  <si>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</si>
  <si>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</si>
  <si>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</si>
  <si>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</si>
  <si>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</si>
  <si>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</si>
  <si>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</si>
  <si>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</si>
  <si>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</si>
  <si>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</si>
  <si>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</si>
  <si>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</si>
  <si>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</si>
  <si>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</si>
  <si>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</si>
  <si>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</si>
  <si>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</si>
  <si>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</si>
  <si>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409024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</si>
  <si>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</si>
  <si>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</si>
  <si>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</si>
  <si>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</si>
  <si>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</si>
  <si>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</si>
  <si>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</si>
  <si>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</si>
  <si>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</si>
  <si>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</si>
  <si>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</si>
  <si>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</si>
  <si>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</si>
  <si>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200 m² (BD TOPO) + 10 % de terrasses, soit 220 m²). 0 m² supposent 2 niveaux en gradins sur une pente de 2,2 %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</si>
  <si>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</si>
  <si>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</si>
  <si>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</si>
  <si>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</si>
  <si>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297 m² existants. Reste soumis à l'avis de l'ABF (site inscrit), mais sans gradins.</t>
  </si>
  <si>
    <t>Division parcellaire</t>
  </si>
  <si>
    <t>Unité foncière de 3 258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</si>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</sst>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739000.0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297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721000</v>
      </c>
      <c r="D55" t="s">
        <v>98</v>
      </c>
    </row>
    <row r="56" spans="1:4">
      <c r="A56" t="s">
        <v>99</v>
      </c>
      <c r="B56" t="s">
        <v>8</v>
      </c>
      <c r="C56" s="5">
        <v>30000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-817337.72250000014901</v>
      </c>
      <c r="E5" s="10">
        <f>'Rénover-revendre'!I18</f>
        <v>-722268.022500000195578</v>
      </c>
      <c r="F5" s="10">
        <f>'Rénover-revendre'!L18</f>
        <v>-627198.32250000024214</v>
      </c>
      <c r="G5" s="13">
        <f>'Rénover-revendre'!F19</f>
        <v>-1.47164645114244</v>
      </c>
      <c r="H5" s="13">
        <f>'Rénover-revendre'!I19</f>
        <v>-1.10539948347107</v>
      </c>
      <c r="I5" s="13">
        <f>'Rénover-revendre'!L19</f>
        <v>-0.83469520301833</v>
      </c>
      <c r="J5" s="10">
        <f>'Rénover-revendre'!F20</f>
        <v>-55220.6547619048506</v>
      </c>
      <c r="K5" s="10">
        <f>'Rénover-revendre'!I20</f>
        <v>15650.77380952367093</v>
      </c>
      <c r="L5" s="10">
        <f>'Rénover-revendre'!L20</f>
        <v>86522.20238095219247</v>
      </c>
      <c r="M5">
        <f>IF(OR(B5="Improbable",B5="Impossible"),-1E+15,IF(ISNUMBER(E5),E5,-1E+15))</f>
        <v>-722268.022500000195578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297</v>
      </c>
      <c r="E6" s="12">
        <f>'Hypothèses'!$C$9</f>
        <v>1870</v>
      </c>
      <c r="F6" s="12">
        <f>D6*E6</f>
        <v>555390</v>
      </c>
      <c r="G6" s="11">
        <f>'Hypothèses'!$C$13</f>
        <v>297</v>
      </c>
      <c r="H6" s="12">
        <f>'Hypothèses'!$C$10</f>
        <v>2200</v>
      </c>
      <c r="I6" s="12">
        <f>G6*H6</f>
        <v>653400</v>
      </c>
      <c r="J6" s="11">
        <f>'Hypothèses'!$C$13</f>
        <v>297</v>
      </c>
      <c r="K6" s="12">
        <f>'Hypothèses'!$C$11</f>
        <v>2530</v>
      </c>
      <c r="L6" s="12">
        <f>J6*K6</f>
        <v>751410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739000</v>
      </c>
      <c r="F7" s="10">
        <f>D7*E7</f>
        <v>739000</v>
      </c>
      <c r="G7" s="9">
        <f>1</f>
        <v>1</v>
      </c>
      <c r="H7" s="10">
        <f>'Hypothèses'!$C$6</f>
        <v>739000</v>
      </c>
      <c r="I7" s="10">
        <f>G7*H7</f>
        <v>739000</v>
      </c>
      <c r="J7" s="9">
        <f>1</f>
        <v>1</v>
      </c>
      <c r="K7" s="10">
        <f>'Hypothèses'!$C$6</f>
        <v>739000</v>
      </c>
      <c r="L7" s="10">
        <f>J7*K7</f>
        <v>739000</v>
      </c>
    </row>
    <row r="8" spans="1:12">
      <c r="A8" t="s">
        <v>189</v>
      </c>
      <c r="B8" t="s">
        <v>8</v>
      </c>
      <c r="C8" t="s">
        <v>190</v>
      </c>
      <c r="D8" s="10">
        <f>F7</f>
        <v>739000</v>
      </c>
      <c r="E8" s="13">
        <f>'Hypothèses'!$C$7/100</f>
        <v>0.08</v>
      </c>
      <c r="F8" s="10">
        <f>D8*E8</f>
        <v>59120</v>
      </c>
      <c r="G8" s="10">
        <f>I7</f>
        <v>739000</v>
      </c>
      <c r="H8" s="13">
        <f>'Hypothèses'!$C$7/100</f>
        <v>0.08</v>
      </c>
      <c r="I8" s="10">
        <f>G8*H8</f>
        <v>59120</v>
      </c>
      <c r="J8" s="10">
        <f>L7</f>
        <v>739000</v>
      </c>
      <c r="K8" s="13">
        <f>'Hypothèses'!$C$7/100</f>
        <v>0.08</v>
      </c>
      <c r="L8" s="10">
        <f>J8*K8</f>
        <v>59120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297</v>
      </c>
      <c r="E9" s="10">
        <f>'Hypothèses'!$C$17</f>
        <v>1430</v>
      </c>
      <c r="F9" s="10">
        <f>D9*E9</f>
        <v>424710</v>
      </c>
      <c r="G9" s="9">
        <f>'Hypothèses'!$C$13</f>
        <v>297</v>
      </c>
      <c r="H9" s="10">
        <f>'Hypothèses'!$C$17</f>
        <v>1430</v>
      </c>
      <c r="I9" s="10">
        <f>G9*H9</f>
        <v>424710</v>
      </c>
      <c r="J9" s="9">
        <f>'Hypothèses'!$C$13</f>
        <v>297</v>
      </c>
      <c r="K9" s="10">
        <f>'Hypothèses'!$C$17</f>
        <v>1430</v>
      </c>
      <c r="L9" s="10">
        <f>J9*K9</f>
        <v>424710</v>
      </c>
    </row>
    <row r="10" spans="1:12">
      <c r="A10" t="s">
        <v>193</v>
      </c>
      <c r="B10" t="s">
        <v>8</v>
      </c>
      <c r="C10" t="s">
        <v>194</v>
      </c>
      <c r="D10" s="10">
        <f>F9</f>
        <v>424710</v>
      </c>
      <c r="E10" s="13">
        <f>'Hypothèses'!$C$23/100</f>
        <v>0.06</v>
      </c>
      <c r="F10" s="10">
        <f>D10*E10</f>
        <v>25482.59999999999854</v>
      </c>
      <c r="G10" s="10">
        <f>I9</f>
        <v>424710</v>
      </c>
      <c r="H10" s="13">
        <f>'Hypothèses'!$C$23/100</f>
        <v>0.06</v>
      </c>
      <c r="I10" s="10">
        <f>G10*H10</f>
        <v>25482.59999999999854</v>
      </c>
      <c r="J10" s="10">
        <f>L9</f>
        <v>424710</v>
      </c>
      <c r="K10" s="13">
        <f>'Hypothèses'!$C$23/100</f>
        <v>0.06</v>
      </c>
      <c r="L10" s="10">
        <f>J10*K10</f>
        <v>25482.59999999999854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424710</v>
      </c>
      <c r="E11" s="13">
        <f>'Hypothèses'!$C$26/100</f>
        <v>0.03</v>
      </c>
      <c r="F11" s="10">
        <f>D11*E11</f>
        <v>12741.29999999999927</v>
      </c>
      <c r="G11" s="10">
        <f>I9</f>
        <v>424710</v>
      </c>
      <c r="H11" s="13">
        <f>'Hypothèses'!$C$26/100</f>
        <v>0.03</v>
      </c>
      <c r="I11" s="10">
        <f>G11*H11</f>
        <v>12741.29999999999927</v>
      </c>
      <c r="J11" s="10">
        <f>L9</f>
        <v>424710</v>
      </c>
      <c r="K11" s="13">
        <f>'Hypothèses'!$C$26/100</f>
        <v>0.03</v>
      </c>
      <c r="L11" s="10">
        <f>J11*K11</f>
        <v>12741.29999999999927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424710</v>
      </c>
      <c r="E12" s="13">
        <f>'Hypothèses'!$C$27/100</f>
        <v>0.1</v>
      </c>
      <c r="F12" s="10">
        <f>D12*E12</f>
        <v>42471</v>
      </c>
      <c r="G12" s="10">
        <f>I9</f>
        <v>424710</v>
      </c>
      <c r="H12" s="13">
        <f>'Hypothèses'!$C$27/100</f>
        <v>0.1</v>
      </c>
      <c r="I12" s="10">
        <f>G12*H12</f>
        <v>42471</v>
      </c>
      <c r="J12" s="10">
        <f>L9</f>
        <v>424710</v>
      </c>
      <c r="K12" s="13">
        <f>'Hypothèses'!$C$27/100</f>
        <v>0.1</v>
      </c>
      <c r="L12" s="10">
        <f>J12*K12</f>
        <v>42471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1050822.44999999995343</v>
      </c>
      <c r="E13" s="13">
        <f>'Hypothèses'!$C$30/100*'Hypothèses'!$C$31/12</f>
        <v>0.05</v>
      </c>
      <c r="F13" s="10">
        <f>D13*E13</f>
        <v>52541.12250000000495</v>
      </c>
      <c r="G13" s="10">
        <f>I7+I8+0.5*(I9+I10+I11+I12)</f>
        <v>1050822.44999999995343</v>
      </c>
      <c r="H13" s="13">
        <f>'Hypothèses'!$C$30/100*'Hypothèses'!$C$31/12</f>
        <v>0.05</v>
      </c>
      <c r="I13" s="10">
        <f>G13*H13</f>
        <v>52541.12250000000495</v>
      </c>
      <c r="J13" s="10">
        <f>L7+L8+0.5*(L9+L10+L11+L12)</f>
        <v>1050822.44999999995343</v>
      </c>
      <c r="K13" s="13">
        <f>'Hypothèses'!$C$30/100*'Hypothèses'!$C$31/12</f>
        <v>0.05</v>
      </c>
      <c r="L13" s="10">
        <f>J13*K13</f>
        <v>52541.12250000000495</v>
      </c>
    </row>
    <row r="14" spans="1:12">
      <c r="A14" t="s">
        <v>48</v>
      </c>
      <c r="B14" t="s">
        <v>8</v>
      </c>
      <c r="C14" t="s">
        <v>197</v>
      </c>
      <c r="D14" s="10">
        <f>F6</f>
        <v>555390</v>
      </c>
      <c r="E14" s="13">
        <f>'Hypothèses'!$C$28/100</f>
        <v>0.03</v>
      </c>
      <c r="F14" s="10">
        <f>D14*E14</f>
        <v>16661.70000000000073</v>
      </c>
      <c r="G14" s="10">
        <f>I6</f>
        <v>653400</v>
      </c>
      <c r="H14" s="13">
        <f>'Hypothèses'!$C$28/100</f>
        <v>0.03</v>
      </c>
      <c r="I14" s="10">
        <f>G14*H14</f>
        <v>19602</v>
      </c>
      <c r="J14" s="10">
        <f>L6</f>
        <v>751410</v>
      </c>
      <c r="K14" s="13">
        <f>'Hypothèses'!$C$28/100</f>
        <v>0.03</v>
      </c>
      <c r="L14" s="10">
        <f>J14*K14</f>
        <v>22542.29999999999927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1372727.72250000014901</v>
      </c>
      <c r="G16" s="16"/>
      <c r="H16" s="16"/>
      <c r="I16" s="17">
        <f>I7+I8+I9+I10+I11+I12+I13+I14</f>
        <v>1375668.022500000195578</v>
      </c>
      <c r="J16" s="16"/>
      <c r="K16" s="16"/>
      <c r="L16" s="17">
        <f>L7+L8+L9+L10+L11+L12+L13+L14</f>
        <v>1378608.32250000024214</v>
      </c>
    </row>
    <row r="17" spans="1:12">
      <c r="A17" s="1" t="s">
        <v>199</v>
      </c>
      <c r="F17" s="10">
        <f>F6-(F7+F8+F9+F10+F11+F12)</f>
        <v>-748134.9000000001397</v>
      </c>
      <c r="I17" s="10">
        <f>I6-(I7+I8+I9+I10+I11+I12)</f>
        <v>-650124.9000000001397</v>
      </c>
      <c r="L17" s="10">
        <f>L6-(L7+L8+L9+L10+L11+L12)</f>
        <v>-552114.9000000001397</v>
      </c>
    </row>
    <row r="18" spans="1:12">
      <c r="A18" s="1" t="s">
        <v>151</v>
      </c>
      <c r="F18" s="12">
        <f>F6-F16</f>
        <v>-817337.72250000014901</v>
      </c>
      <c r="I18" s="12">
        <f>I6-I16</f>
        <v>-722268.022500000195578</v>
      </c>
      <c r="L18" s="12">
        <f>L6-L16</f>
        <v>-627198.32250000024214</v>
      </c>
    </row>
    <row r="19" spans="1:12">
      <c r="A19" s="1" t="s">
        <v>200</v>
      </c>
      <c r="F19" s="14">
        <f>F18/F6</f>
        <v>-1.47164645114244</v>
      </c>
      <c r="I19" s="14">
        <f>I18/I6</f>
        <v>-1.10539948347107</v>
      </c>
      <c r="L19" s="14">
        <f>L18/L6</f>
        <v>-0.83469520301833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-55220.6547619048506</v>
      </c>
      <c r="I20" s="10">
        <f>I7+(I18-'Hypothèses'!$C$33/100*I6)/((1+'Hypothèses'!$C$7/100)*(1+'Hypothèses'!$C$30/100*'Hypothèses'!$C$31/12))</f>
        <v>15650.77380952367093</v>
      </c>
      <c r="L20" s="10">
        <f>L7+(L18-'Hypothèses'!$C$33/100*L6)/((1+'Hypothèses'!$C$7/100)*(1+'Hypothèses'!$C$30/100*'Hypothèses'!$C$31/12))</f>
        <v>86522.20238095219247</v>
      </c>
    </row>
    <row r="21" spans="1:12">
      <c r="A21" s="1" t="s">
        <v>202</v>
      </c>
      <c r="F21" s="13">
        <f>F20/F7-1</f>
        <v>-1.074723484116245</v>
      </c>
      <c r="I21" s="13">
        <f>I20/I7-1</f>
        <v>-0.97882168631999</v>
      </c>
      <c r="L21" s="13">
        <f>L20/L7-1</f>
        <v>-0.88291988852375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2026-10-23T17:13:15+00:00</dcterms:created>
  <dcterms:modified xsi:type="dcterms:W3CDTF">2026-10-23T17:13:15+00:00</dcterms:modified>
  <dc:title>Untitled Spreadsheet</dc:title>
  <dc:description/>
  <dc:subject/>
  <cp:keywords/>
  <cp:category/>
</cp:coreProperties>
</file>