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  <sheet name="Extension max" sheetId="5" r:id="rId8"/>
    <sheet name="Surélévation" sheetId="6" r:id="rId9"/>
    <sheet name="Extension + rénovatio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<sst xmlns="http://schemas.openxmlformats.org/spreadsheetml/2006/main" uniqueCount="225">
  <si>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Hypothèses : annonce 2715 · Nîmes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</si>
  <si>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</si>
  <si>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</si>
  <si>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</si>
  <si>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</si>
  <si>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</si>
  <si>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</si>
  <si>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</si>
  <si>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</si>
  <si>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</si>
  <si>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</si>
  <si>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</si>
  <si>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</si>
  <si>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</si>
  <si>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</si>
  <si>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</si>
  <si>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</si>
  <si>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</si>
  <si>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</si>
  <si>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</si>
  <si>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</si>
  <si>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</si>
  <si>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</si>
  <si>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80 m², 80 m²)</t>
  </si>
  <si>
    <t>Extension maximale</t>
  </si>
  <si>
    <t>Calcul PLU : emprise restante 80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</si>
  <si>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</si>
  <si>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</si>
  <si>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</si>
  <si>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</si>
  <si>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</si>
  <si>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</si>
  <si>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</si>
  <si>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</si>
  <si>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</si>
  <si>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</si>
  <si>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</si>
  <si>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</si>
  <si>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</si>
  <si>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</si>
  <si>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</si>
  <si>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</si>
  <si>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</si>
  <si>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</si>
  <si>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</si>
  <si>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</si>
  <si>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</si>
  <si>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</si>
  <si>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</si>
  <si>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</si>
  <si>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</si>
  <si>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</si>
  <si>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</si>
  <si>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</si>
  <si>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</si>
  <si>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</si>
  <si>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</si>
  <si>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</si>
  <si>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</si>
  <si>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</si>
  <si>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</si>
  <si>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</si>
  <si>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</si>
  <si>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</si>
  <si>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</si>
  <si>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</si>
  <si>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</si>
  <si>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</si>
  <si>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</si>
  <si>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</si>
  <si>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</si>
  <si>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</si>
  <si>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</si>
  <si>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</si>
  <si>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</si>
  <si>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</si>
  <si>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</si>
  <si>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</si>
  <si>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</si>
  <si>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</si>
  <si>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224 m² × 4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</si>
  <si>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</si>
  <si>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</si>
  <si>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</si>
  <si>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(39 ventes)</t>
  </si>
  <si>
    <t>Prix de vente TTC du neuf : médian</t>
  </si>
  <si>
    <t>Médiane : DVF VEFA 5 ans de la commune (39 ventes)</t>
  </si>
  <si>
    <t>Prix de vente TTC du neuf : optimiste</t>
  </si>
  <si>
    <t>Q3 : DVF VEFA 5 ans de la commune (39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</si>
  <si>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</si>
  <si>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</si>
  <si>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</si>
  <si>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</si>
  <si>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</si>
  <si>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</si>
  <si>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</si>
  <si>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</si>
  <si>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</si>
  <si>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(535 000 €) moins la marge de négociation estimée de la fiche (4,6 %),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</si>
  <si>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</si>
  <si>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</si>
  <si>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</si>
  <si>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</si>
  <si>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</si>
  <si>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</si>
  <si>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2046 €/m² TTC (base 1550 € HT/m² du département 30,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</si>
  <si>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</si>
  <si>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</si>
  <si>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</si>
  <si>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</si>
  <si>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</si>
  <si>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</si>
  <si>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</si>
  <si>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</si>
  <si>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</si>
  <si>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</si>
  <si>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</si>
  <si>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</si>
  <si>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</si>
  <si>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</si>
  <si>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</si>
  <si>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</si>
  <si>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</si>
  <si>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</si>
  <si>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</si>
  <si>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</si>
  <si>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</si>
  <si>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</si>
  <si>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</si>
  <si>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</si>
  <si>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</si>
  <si>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</si>
  <si>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</si>
  <si>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</si>
  <si>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</si>
  <si>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</si>
  <si>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</si>
  <si>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</si>
  <si>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</si>
  <si>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</si>
  <si>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</si>
  <si>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</si>
  <si>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</si>
  <si>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</si>
  <si>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</si>
  <si>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</si>
  <si>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</si>
  <si>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2715 · Nîmes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</si>
  <si>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</si>
  <si>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</si>
  <si>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</si>
  <si>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</si>
  <si>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</si>
  <si>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</si>
  <si>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</si>
  <si>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</si>
  <si>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</si>
  <si>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</si>
  <si>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</si>
  <si>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</si>
  <si>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Limité</t>
  </si>
  <si>
    <t>Emprise restante 80 m² (224 m² autorisés, moins piscine 0 m² et bâti existant 131 m² (BD TOPO) + 10 % de terrasses, soit 144 m²). 41 m² supposent 2 niveaux en gradins sur une pente de 0 % : coûteux, et l'ABF (site inscrit) peut réduire le projet.</t>
  </si>
  <si>
    <t>Surélévation</t>
  </si>
  <si>
    <t>Un étage sur le bâti existant (41 m² créés) : le plancher résiduel autorisé le permet, la structure et la hauteur sont à vérifier.</t>
  </si>
  <si>
    <t>Extension + rénovation</t>
  </si>
  <si>
    <t>Extension prudente de 41 m² de plain-pied et rénovation lourde des 189 m² existants. Reste soumis à l'avis de l'ABF (site inscrit), mais sans gradins.</t>
  </si>
  <si>
    <t>Division parcellaire</t>
  </si>
  <si>
    <t>Impossible</t>
  </si>
  <si>
    <t>Unité foncière de 382 m², sous le seuil de 2 090 m², lot détaché inférieur à 300 m² ou prix du terrain à bâtir inconnu : division non retenue.</t>
  </si>
  <si>
    <t>non chiffré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</si>
  <si>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</si>
  <si>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</si>
  <si>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</si>
  <si>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</si>
  <si>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</si>
  <si>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</si>
  <si>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VUB),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</si>
  <si>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</si>
  <si>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</si>
  <si>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</si>
  <si>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</si>
  <si>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</si>
  <si>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</si>
  <si>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</si>
  <si>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</si>
  <si>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</si>
  <si>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</si>
  <si>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</si>
  <si>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</si>
  <si>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</si>
  <si>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</si>
  <si>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</si>
  <si>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</si>
  <si>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</si>
  <si>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</si>
  <si>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</si>
  <si>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</si>
  <si>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</si>
  <si>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</si>
  <si>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</si>
  <si>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</si>
  <si>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</si>
  <si>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</si>
  <si>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</si>
  <si>
    <t>Statut : limité. Emprise restante 80 m² (224 m² autorisés, moins piscine 0 m² et bâti existant 131 m² (BD TOPO) + 10 % de terrasses, soit 144 m²). 41 m² supposent 2 niveaux en gradins sur une pente de 0 % : coûteux, et l'ABF (site inscrit) peut réduire le projet.</t>
  </si>
  <si>
    <t>Recette : maison agrandie</t>
  </si>
  <si>
    <t>Surface totale × prix de revente (grande surface : prix/m² souvent plus bas)</t>
  </si>
  <si>
    <t>Travaux d'extension</t>
  </si>
  <si>
    <t>Fourchette 3 500-4 500 €/m² en pente, site inscrit</t>
  </si>
  <si>
    <t>Terrassement et soutènement</t>
  </si>
  <si>
    <t>Estimation, pente 0 %</t>
  </si>
  <si>
    <t>Honoraires architecte + bureaux d'études</t>
  </si>
  <si>
    <t>Architecte obligatoire (&gt; 150 m² de plancher)</t>
  </si>
  <si>
    <t>Surface créée × valeur forfaitaire × taux</t>
  </si>
  <si>
    <t>Statut : limité. Un étage sur le bâti existant (41 m² créés) : le plancher résiduel autorisé le permet, la structure et la hauteur sont à vérifier.</t>
  </si>
  <si>
    <t>Recette : maison surélevée</t>
  </si>
  <si>
    <t>Surface totale × prix de revente</t>
  </si>
  <si>
    <t>Travaux de surélévation</t>
  </si>
  <si>
    <t>Coût d'extension + 20 %</t>
  </si>
  <si>
    <t>Architecte obligatoire</t>
  </si>
  <si>
    <t>Statut : possible. Extension prudente de 41 m² de plain-pied et rénovation lourde des 189 m² existants. Reste soumis à l'avis de l'ABF (site inscrit), mais sans gradins.</t>
  </si>
  <si>
    <t>Recette : maison rénovée et agrandie</t>
  </si>
  <si>
    <t>Surface totale × prix de revente ancien haut de gamme Èze</t>
  </si>
  <si>
    <t>Rénovation lourde de l'existant</t>
  </si>
  <si>
    <t>Pourcentage des travaux d'extension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</si>
</sst>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535000.0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2260.0</v>
      </c>
      <c r="D9" t="s">
        <v>16</v>
      </c>
    </row>
    <row r="10" spans="1:4">
      <c r="A10" t="s">
        <v>17</v>
      </c>
      <c r="B10" t="s">
        <v>15</v>
      </c>
      <c r="C10" s="6">
        <v>2790.0</v>
      </c>
      <c r="D10" t="s">
        <v>16</v>
      </c>
    </row>
    <row r="11" spans="1:4">
      <c r="A11" t="s">
        <v>18</v>
      </c>
      <c r="B11" t="s">
        <v>15</v>
      </c>
      <c r="C11" s="6">
        <v>3070.0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189</v>
      </c>
      <c r="D13" t="s">
        <v>9</v>
      </c>
    </row>
    <row r="14" spans="1:4">
      <c r="A14" t="s">
        <v>22</v>
      </c>
      <c r="B14" t="s">
        <v>21</v>
      </c>
      <c r="C14" s="6">
        <v>41</v>
      </c>
      <c r="D14" t="s">
        <v>23</v>
      </c>
    </row>
    <row r="15" spans="1:4">
      <c r="A15" t="s">
        <v>24</v>
      </c>
      <c r="B15" t="s">
        <v>21</v>
      </c>
      <c r="C15" s="6">
        <v>41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1800.0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41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432.0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230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3700.0</v>
      </c>
      <c r="D49" t="s">
        <v>86</v>
      </c>
    </row>
    <row r="50" spans="1:4">
      <c r="A50" t="s">
        <v>87</v>
      </c>
      <c r="B50" t="s">
        <v>15</v>
      </c>
      <c r="C50" s="6">
        <v>4400.0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510000</v>
      </c>
      <c r="D55" t="s">
        <v>98</v>
      </c>
    </row>
    <row r="56" spans="1:4">
      <c r="A56" t="s">
        <v>99</v>
      </c>
      <c r="B56" t="s">
        <v>8</v>
      </c>
      <c r="C56" s="5">
        <v>21000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471000</v>
      </c>
      <c r="D59" t="s">
        <v>105</v>
      </c>
    </row>
    <row r="60" spans="1:4">
      <c r="A60" t="s">
        <v>106</v>
      </c>
      <c r="B60" t="s">
        <v>8</v>
      </c>
      <c r="C60" s="5">
        <v>25000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9000</v>
      </c>
      <c r="D62" t="s">
        <v>111</v>
      </c>
    </row>
    <row r="63" spans="1:4">
      <c r="A63" t="s">
        <v>112</v>
      </c>
      <c r="B63" t="s">
        <v>8</v>
      </c>
      <c r="C63" s="5">
        <v>23000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42000</v>
      </c>
      <c r="D68" t="s">
        <v>111</v>
      </c>
    </row>
    <row r="69" spans="1:4">
      <c r="A69" t="s">
        <v>121</v>
      </c>
      <c r="B69" t="s">
        <v>8</v>
      </c>
      <c r="C69" s="5">
        <v>24000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12000</v>
      </c>
      <c r="D71" t="s">
        <v>126</v>
      </c>
    </row>
    <row r="72" spans="1:4">
      <c r="A72" t="s">
        <v>127</v>
      </c>
      <c r="B72" t="s">
        <v>8</v>
      </c>
      <c r="C72" s="5">
        <v>14000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175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-607323.14999999990687</v>
      </c>
      <c r="E5" s="10">
        <f>'Rénover-revendre'!I18</f>
        <v>-510158.25</v>
      </c>
      <c r="F5" s="10">
        <f>'Rénover-revendre'!L18</f>
        <v>-458825.84999999997672</v>
      </c>
      <c r="G5" s="13">
        <f>'Rénover-revendre'!F19</f>
        <v>-1.42183628318584</v>
      </c>
      <c r="H5" s="13">
        <f>'Rénover-revendre'!I19</f>
        <v>-0.96747311827957</v>
      </c>
      <c r="I5" s="13">
        <f>'Rénover-revendre'!L19</f>
        <v>-0.7907654723127</v>
      </c>
      <c r="J5" s="10">
        <f>'Rénover-revendre'!F20</f>
        <v>-57058.33333333313931</v>
      </c>
      <c r="K5" s="10">
        <f>'Rénover-revendre'!I20</f>
        <v>15375</v>
      </c>
      <c r="L5" s="10">
        <f>'Rénover-revendre'!L20</f>
        <v>53641.66666666674428</v>
      </c>
      <c r="M5">
        <f>IF(OR(B5="Improbable",B5="Impossible"),-1E+15,IF(ISNUMBER(E5),E5,-1E+15))</f>
        <v>-510158.25</v>
      </c>
    </row>
    <row r="6" spans="1:13" customHeight="1" ht="62">
      <c r="A6" t="s">
        <v>24</v>
      </c>
      <c r="B6" t="s">
        <v>160</v>
      </c>
      <c r="C6" s="7" t="s">
        <v>161</v>
      </c>
      <c r="D6" s="10">
        <f>'Extension max'!F21</f>
        <v>-250207.25</v>
      </c>
      <c r="E6" s="10">
        <f>'Extension max'!I21</f>
        <v>-131964.25</v>
      </c>
      <c r="F6" s="10">
        <f>'Extension max'!L21</f>
        <v>-69496.25</v>
      </c>
      <c r="G6" s="13">
        <f>'Extension max'!F22</f>
        <v>-0.48135292420162</v>
      </c>
      <c r="H6" s="13">
        <f>'Extension max'!I22</f>
        <v>-0.20564788842138</v>
      </c>
      <c r="I6" s="13">
        <f>'Extension max'!L22</f>
        <v>-0.098422673842232</v>
      </c>
      <c r="J6" s="10">
        <f>'Extension max'!F23</f>
        <v>254506.6239316239371</v>
      </c>
      <c r="K6" s="10">
        <f>'Extension max'!I23</f>
        <v>339940.81196581193944</v>
      </c>
      <c r="L6" s="10">
        <f>'Extension max'!L23</f>
        <v>385075.85470085468842</v>
      </c>
      <c r="M6">
        <f>IF(OR(B6="Improbable",B6="Impossible"),-1E+15,IF(ISNUMBER(E6),E6,-1E+15))</f>
        <v>-131964.25</v>
      </c>
    </row>
    <row r="7" spans="1:13" customHeight="1" ht="62">
      <c r="A7" t="s">
        <v>162</v>
      </c>
      <c r="B7" t="s">
        <v>160</v>
      </c>
      <c r="C7" s="7" t="s">
        <v>163</v>
      </c>
      <c r="D7" s="10">
        <f>'Surélévation'!F19</f>
        <v>-264526.5</v>
      </c>
      <c r="E7" s="10">
        <f>'Surélévation'!I19</f>
        <v>-146283.5</v>
      </c>
      <c r="F7" s="10">
        <f>'Surélévation'!L19</f>
        <v>-83815.5</v>
      </c>
      <c r="G7" s="13">
        <f>'Surélévation'!F20</f>
        <v>-0.50890053866872</v>
      </c>
      <c r="H7" s="13">
        <f>'Surélévation'!I20</f>
        <v>-0.22796244350943</v>
      </c>
      <c r="I7" s="13">
        <f>'Surélévation'!L20</f>
        <v>-0.11870202520889</v>
      </c>
      <c r="J7" s="10">
        <f>'Surélévation'!F21</f>
        <v>242267.94871794868959</v>
      </c>
      <c r="K7" s="10">
        <f>'Surélévation'!I21</f>
        <v>327702.13675213675015</v>
      </c>
      <c r="L7" s="10">
        <f>'Surélévation'!L21</f>
        <v>372837.17948717949912</v>
      </c>
      <c r="M7">
        <f>IF(OR(B7="Improbable",B7="Impossible"),-1E+15,IF(ISNUMBER(E7),E7,-1E+15))</f>
        <v>-146283.5</v>
      </c>
    </row>
    <row r="8" spans="1:13" customHeight="1" ht="62">
      <c r="A8" t="s">
        <v>164</v>
      </c>
      <c r="B8" t="s">
        <v>158</v>
      </c>
      <c r="C8" s="7" t="s">
        <v>165</v>
      </c>
      <c r="D8" s="10">
        <f>'Extension + rénovation'!F22</f>
        <v>-693176</v>
      </c>
      <c r="E8" s="10">
        <f>'Extension + rénovation'!I22</f>
        <v>-574933</v>
      </c>
      <c r="F8" s="10">
        <f>'Extension + rénovation'!L22</f>
        <v>-512465</v>
      </c>
      <c r="G8" s="13">
        <f>'Extension + rénovation'!F23</f>
        <v>-1.33354367064255</v>
      </c>
      <c r="H8" s="13">
        <f>'Extension + rénovation'!I23</f>
        <v>-0.89595293750974</v>
      </c>
      <c r="I8" s="13">
        <f>'Extension + rénovation'!L23</f>
        <v>-0.7257683047727</v>
      </c>
      <c r="J8" s="10">
        <f>'Extension + rénovation'!F24</f>
        <v>-124099.14529914536979</v>
      </c>
      <c r="K8" s="10">
        <f>'Extension + rénovation'!I24</f>
        <v>-38664.95726495725103</v>
      </c>
      <c r="L8" s="10">
        <f>'Extension + rénovation'!L24</f>
        <v>6470.08547008538153</v>
      </c>
      <c r="M8">
        <f>IF(OR(B8="Improbable",B8="Impossible"),-1E+15,IF(ISNUMBER(E8),E8,-1E+15))</f>
        <v>-574933</v>
      </c>
    </row>
    <row r="9" spans="1:13" customHeight="1" ht="62">
      <c r="A9" t="s">
        <v>166</v>
      </c>
      <c r="B9" t="s">
        <v>167</v>
      </c>
      <c r="C9" s="7" t="s">
        <v>168</v>
      </c>
      <c r="D9" t="s">
        <v>169</v>
      </c>
      <c r="M9">
        <f>IF(OR(B9="Improbable",B9="Impossible"),-1E+15,IF(ISNUMBER(E9),E9,-1E+15))</f>
        <v>-1.0E+15</v>
      </c>
    </row>
    <row r="10" spans="1:13" customHeight="1" ht="62">
      <c r="A10" t="s">
        <v>170</v>
      </c>
      <c r="B10" t="s">
        <v>167</v>
      </c>
      <c r="C10" s="7" t="s">
        <v>171</v>
      </c>
      <c r="D10" t="s">
        <v>169</v>
      </c>
      <c r="M10">
        <f>IF(OR(B10="Improbable",B10="Impossible"),-1E+15,IF(ISNUMBER(E10),E10,-1E+15))</f>
        <v>-1.0E+15</v>
      </c>
    </row>
    <row r="11" spans="1:13" customHeight="1" ht="62">
      <c r="A11" t="s">
        <v>172</v>
      </c>
      <c r="B11" t="s">
        <v>167</v>
      </c>
      <c r="C11" s="7" t="s">
        <v>173</v>
      </c>
      <c r="D11" t="s">
        <v>169</v>
      </c>
      <c r="M11">
        <f>IF(OR(B11="Improbable",B11="Impossible"),-1E+15,IF(ISNUMBER(E11),E11,-1E+15))</f>
        <v>-1.0E+15</v>
      </c>
    </row>
    <row r="13" spans="1:13">
      <c r="A13" s="1" t="s">
        <v>174</v>
      </c>
      <c r="B13" s="1"/>
      <c r="C13" s="1"/>
      <c r="D13" s="1" t="str">
        <f>INDEX(A5:A11,MATCH(MAX(M5:M11),M5:M11,0))</f>
        <v>Extension maximale</v>
      </c>
    </row>
    <row r="15" spans="1:13">
      <c r="A15" t="s">
        <v>176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177</v>
      </c>
    </row>
    <row r="3" spans="1:12">
      <c r="D3" t="s">
        <v>179</v>
      </c>
      <c r="E3" s="8">
        <f>'Hypothèses'!$C$9</f>
        <v>2260</v>
      </c>
      <c r="G3" t="s">
        <v>179</v>
      </c>
      <c r="H3" s="8">
        <f>'Hypothèses'!$C$10</f>
        <v>2790</v>
      </c>
      <c r="J3" t="s">
        <v>179</v>
      </c>
      <c r="K3" s="8">
        <f>'Hypothèses'!$C$11</f>
        <v>3070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185</v>
      </c>
      <c r="B6" t="s">
        <v>21</v>
      </c>
      <c r="C6" t="s">
        <v>186</v>
      </c>
      <c r="D6" s="11">
        <f>'Hypothèses'!$C$13</f>
        <v>189</v>
      </c>
      <c r="E6" s="12">
        <f>'Hypothèses'!$C$9</f>
        <v>2260</v>
      </c>
      <c r="F6" s="12">
        <f>D6*E6</f>
        <v>427140</v>
      </c>
      <c r="G6" s="11">
        <f>'Hypothèses'!$C$13</f>
        <v>189</v>
      </c>
      <c r="H6" s="12">
        <f>'Hypothèses'!$C$10</f>
        <v>2790</v>
      </c>
      <c r="I6" s="12">
        <f>G6*H6</f>
        <v>527310</v>
      </c>
      <c r="J6" s="11">
        <f>'Hypothèses'!$C$13</f>
        <v>189</v>
      </c>
      <c r="K6" s="12">
        <f>'Hypothèses'!$C$11</f>
        <v>3070</v>
      </c>
      <c r="L6" s="12">
        <f>J6*K6</f>
        <v>580230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535000</v>
      </c>
      <c r="F7" s="10">
        <f>D7*E7</f>
        <v>535000</v>
      </c>
      <c r="G7" s="9">
        <f>1</f>
        <v>1</v>
      </c>
      <c r="H7" s="10">
        <f>'Hypothèses'!$C$6</f>
        <v>535000</v>
      </c>
      <c r="I7" s="10">
        <f>G7*H7</f>
        <v>535000</v>
      </c>
      <c r="J7" s="9">
        <f>1</f>
        <v>1</v>
      </c>
      <c r="K7" s="10">
        <f>'Hypothèses'!$C$6</f>
        <v>535000</v>
      </c>
      <c r="L7" s="10">
        <f>J7*K7</f>
        <v>535000</v>
      </c>
    </row>
    <row r="8" spans="1:12">
      <c r="A8" t="s">
        <v>190</v>
      </c>
      <c r="B8" t="s">
        <v>8</v>
      </c>
      <c r="C8" t="s">
        <v>191</v>
      </c>
      <c r="D8" s="10">
        <f>F7</f>
        <v>535000</v>
      </c>
      <c r="E8" s="13">
        <f>'Hypothèses'!$C$7/100</f>
        <v>0.08</v>
      </c>
      <c r="F8" s="10">
        <f>D8*E8</f>
        <v>42800</v>
      </c>
      <c r="G8" s="10">
        <f>I7</f>
        <v>535000</v>
      </c>
      <c r="H8" s="13">
        <f>'Hypothèses'!$C$7/100</f>
        <v>0.08</v>
      </c>
      <c r="I8" s="10">
        <f>G8*H8</f>
        <v>42800</v>
      </c>
      <c r="J8" s="10">
        <f>L7</f>
        <v>535000</v>
      </c>
      <c r="K8" s="13">
        <f>'Hypothèses'!$C$7/100</f>
        <v>0.08</v>
      </c>
      <c r="L8" s="10">
        <f>J8*K8</f>
        <v>42800</v>
      </c>
    </row>
    <row r="9" spans="1:12">
      <c r="A9" t="s">
        <v>192</v>
      </c>
      <c r="B9" t="s">
        <v>21</v>
      </c>
      <c r="C9" t="s">
        <v>193</v>
      </c>
      <c r="D9" s="9">
        <f>'Hypothèses'!$C$13</f>
        <v>189</v>
      </c>
      <c r="E9" s="10">
        <f>'Hypothèses'!$C$17</f>
        <v>1800</v>
      </c>
      <c r="F9" s="10">
        <f>D9*E9</f>
        <v>340200</v>
      </c>
      <c r="G9" s="9">
        <f>'Hypothèses'!$C$13</f>
        <v>189</v>
      </c>
      <c r="H9" s="10">
        <f>'Hypothèses'!$C$17</f>
        <v>1800</v>
      </c>
      <c r="I9" s="10">
        <f>G9*H9</f>
        <v>340200</v>
      </c>
      <c r="J9" s="9">
        <f>'Hypothèses'!$C$13</f>
        <v>189</v>
      </c>
      <c r="K9" s="10">
        <f>'Hypothèses'!$C$17</f>
        <v>1800</v>
      </c>
      <c r="L9" s="10">
        <f>J9*K9</f>
        <v>340200</v>
      </c>
    </row>
    <row r="10" spans="1:12">
      <c r="A10" t="s">
        <v>194</v>
      </c>
      <c r="B10" t="s">
        <v>8</v>
      </c>
      <c r="C10" t="s">
        <v>195</v>
      </c>
      <c r="D10" s="10">
        <f>F9</f>
        <v>340200</v>
      </c>
      <c r="E10" s="13">
        <f>'Hypothèses'!$C$23/100</f>
        <v>0.06</v>
      </c>
      <c r="F10" s="10">
        <f>D10*E10</f>
        <v>20412</v>
      </c>
      <c r="G10" s="10">
        <f>I9</f>
        <v>340200</v>
      </c>
      <c r="H10" s="13">
        <f>'Hypothèses'!$C$23/100</f>
        <v>0.06</v>
      </c>
      <c r="I10" s="10">
        <f>G10*H10</f>
        <v>20412</v>
      </c>
      <c r="J10" s="10">
        <f>L9</f>
        <v>340200</v>
      </c>
      <c r="K10" s="13">
        <f>'Hypothèses'!$C$23/100</f>
        <v>0.06</v>
      </c>
      <c r="L10" s="10">
        <f>J10*K10</f>
        <v>20412</v>
      </c>
    </row>
    <row r="11" spans="1:12">
      <c r="A11" t="s">
        <v>45</v>
      </c>
      <c r="B11" t="s">
        <v>8</v>
      </c>
      <c r="C11" t="s">
        <v>195</v>
      </c>
      <c r="D11" s="10">
        <f>F9</f>
        <v>340200</v>
      </c>
      <c r="E11" s="13">
        <f>'Hypothèses'!$C$26/100</f>
        <v>0.03</v>
      </c>
      <c r="F11" s="10">
        <f>D11*E11</f>
        <v>10206</v>
      </c>
      <c r="G11" s="10">
        <f>I9</f>
        <v>340200</v>
      </c>
      <c r="H11" s="13">
        <f>'Hypothèses'!$C$26/100</f>
        <v>0.03</v>
      </c>
      <c r="I11" s="10">
        <f>G11*H11</f>
        <v>10206</v>
      </c>
      <c r="J11" s="10">
        <f>L9</f>
        <v>340200</v>
      </c>
      <c r="K11" s="13">
        <f>'Hypothèses'!$C$26/100</f>
        <v>0.03</v>
      </c>
      <c r="L11" s="10">
        <f>J11*K11</f>
        <v>10206</v>
      </c>
    </row>
    <row r="12" spans="1:12">
      <c r="A12" t="s">
        <v>46</v>
      </c>
      <c r="B12" t="s">
        <v>8</v>
      </c>
      <c r="C12" t="s">
        <v>195</v>
      </c>
      <c r="D12" s="10">
        <f>F9</f>
        <v>340200</v>
      </c>
      <c r="E12" s="13">
        <f>'Hypothèses'!$C$27/100</f>
        <v>0.1</v>
      </c>
      <c r="F12" s="10">
        <f>D12*E12</f>
        <v>34020</v>
      </c>
      <c r="G12" s="10">
        <f>I9</f>
        <v>340200</v>
      </c>
      <c r="H12" s="13">
        <f>'Hypothèses'!$C$27/100</f>
        <v>0.1</v>
      </c>
      <c r="I12" s="10">
        <f>G12*H12</f>
        <v>34020</v>
      </c>
      <c r="J12" s="10">
        <f>L9</f>
        <v>340200</v>
      </c>
      <c r="K12" s="13">
        <f>'Hypothèses'!$C$27/100</f>
        <v>0.1</v>
      </c>
      <c r="L12" s="10">
        <f>J12*K12</f>
        <v>34020</v>
      </c>
    </row>
    <row r="13" spans="1:12">
      <c r="A13" t="s">
        <v>196</v>
      </c>
      <c r="B13" t="s">
        <v>8</v>
      </c>
      <c r="C13" t="s">
        <v>197</v>
      </c>
      <c r="D13" s="10">
        <f>F7+F8+0.5*(F9+F10+F11+F12)</f>
        <v>780219</v>
      </c>
      <c r="E13" s="13">
        <f>'Hypothèses'!$C$30/100*'Hypothèses'!$C$31/12</f>
        <v>0.05</v>
      </c>
      <c r="F13" s="10">
        <f>D13*E13</f>
        <v>39010.95000000000437</v>
      </c>
      <c r="G13" s="10">
        <f>I7+I8+0.5*(I9+I10+I11+I12)</f>
        <v>780219</v>
      </c>
      <c r="H13" s="13">
        <f>'Hypothèses'!$C$30/100*'Hypothèses'!$C$31/12</f>
        <v>0.05</v>
      </c>
      <c r="I13" s="10">
        <f>G13*H13</f>
        <v>39010.95000000000437</v>
      </c>
      <c r="J13" s="10">
        <f>L7+L8+0.5*(L9+L10+L11+L12)</f>
        <v>780219</v>
      </c>
      <c r="K13" s="13">
        <f>'Hypothèses'!$C$30/100*'Hypothèses'!$C$31/12</f>
        <v>0.05</v>
      </c>
      <c r="L13" s="10">
        <f>J13*K13</f>
        <v>39010.95000000000437</v>
      </c>
    </row>
    <row r="14" spans="1:12">
      <c r="A14" t="s">
        <v>48</v>
      </c>
      <c r="B14" t="s">
        <v>8</v>
      </c>
      <c r="C14" t="s">
        <v>198</v>
      </c>
      <c r="D14" s="10">
        <f>F6</f>
        <v>427140</v>
      </c>
      <c r="E14" s="13">
        <f>'Hypothèses'!$C$28/100</f>
        <v>0.03</v>
      </c>
      <c r="F14" s="10">
        <f>D14*E14</f>
        <v>12814.19999999999891</v>
      </c>
      <c r="G14" s="10">
        <f>I6</f>
        <v>527310</v>
      </c>
      <c r="H14" s="13">
        <f>'Hypothèses'!$C$28/100</f>
        <v>0.03</v>
      </c>
      <c r="I14" s="10">
        <f>G14*H14</f>
        <v>15819.29999999999927</v>
      </c>
      <c r="J14" s="10">
        <f>L6</f>
        <v>580230</v>
      </c>
      <c r="K14" s="13">
        <f>'Hypothèses'!$C$28/100</f>
        <v>0.03</v>
      </c>
      <c r="L14" s="10">
        <f>J14*K14</f>
        <v>17406.89999999999782</v>
      </c>
    </row>
    <row r="16" spans="1:12">
      <c r="A16" s="15" t="s">
        <v>199</v>
      </c>
      <c r="B16" s="16"/>
      <c r="C16" s="16"/>
      <c r="D16" s="16"/>
      <c r="E16" s="16"/>
      <c r="F16" s="17">
        <f>F7+F8+F9+F10+F11+F12+F13+F14</f>
        <v>1034463.14999999990687</v>
      </c>
      <c r="G16" s="16"/>
      <c r="H16" s="16"/>
      <c r="I16" s="17">
        <f>I7+I8+I9+I10+I11+I12+I13+I14</f>
        <v>1037468.25</v>
      </c>
      <c r="J16" s="16"/>
      <c r="K16" s="16"/>
      <c r="L16" s="17">
        <f>L7+L8+L9+L10+L11+L12+L13+L14</f>
        <v>1039055.84999999997672</v>
      </c>
    </row>
    <row r="17" spans="1:12">
      <c r="A17" s="1" t="s">
        <v>200</v>
      </c>
      <c r="F17" s="10">
        <f>F6-(F7+F8+F9+F10+F11+F12)</f>
        <v>-555498</v>
      </c>
      <c r="I17" s="10">
        <f>I6-(I7+I8+I9+I10+I11+I12)</f>
        <v>-455328</v>
      </c>
      <c r="L17" s="10">
        <f>L6-(L7+L8+L9+L10+L11+L12)</f>
        <v>-402408</v>
      </c>
    </row>
    <row r="18" spans="1:12">
      <c r="A18" s="1" t="s">
        <v>151</v>
      </c>
      <c r="F18" s="12">
        <f>F6-F16</f>
        <v>-607323.14999999990687</v>
      </c>
      <c r="I18" s="12">
        <f>I6-I16</f>
        <v>-510158.25</v>
      </c>
      <c r="L18" s="12">
        <f>L6-L16</f>
        <v>-458825.84999999997672</v>
      </c>
    </row>
    <row r="19" spans="1:12">
      <c r="A19" s="1" t="s">
        <v>201</v>
      </c>
      <c r="F19" s="14">
        <f>F18/F6</f>
        <v>-1.42183628318584</v>
      </c>
      <c r="I19" s="14">
        <f>I18/I6</f>
        <v>-0.96747311827957</v>
      </c>
      <c r="L19" s="14">
        <f>L18/L6</f>
        <v>-0.7907654723127</v>
      </c>
    </row>
    <row r="20" spans="1:12">
      <c r="A20" s="1" t="s">
        <v>202</v>
      </c>
      <c r="F20" s="10">
        <f>F7+(F18-'Hypothèses'!$C$33/100*F6)/((1+'Hypothèses'!$C$7/100)*(1+'Hypothèses'!$C$30/100*'Hypothèses'!$C$31/12))</f>
        <v>-57058.33333333313931</v>
      </c>
      <c r="I20" s="10">
        <f>I7+(I18-'Hypothèses'!$C$33/100*I6)/((1+'Hypothèses'!$C$7/100)*(1+'Hypothèses'!$C$30/100*'Hypothèses'!$C$31/12))</f>
        <v>15375</v>
      </c>
      <c r="L20" s="10">
        <f>L7+(L18-'Hypothèses'!$C$33/100*L6)/((1+'Hypothèses'!$C$7/100)*(1+'Hypothèses'!$C$30/100*'Hypothèses'!$C$31/12))</f>
        <v>53641.66666666674428</v>
      </c>
    </row>
    <row r="21" spans="1:12">
      <c r="A21" s="1" t="s">
        <v>203</v>
      </c>
      <c r="F21" s="13">
        <f>F20/F7-1</f>
        <v>-1.10665109034268</v>
      </c>
      <c r="I21" s="13">
        <f>I20/I7-1</f>
        <v>-0.97126168224299</v>
      </c>
      <c r="L21" s="13">
        <f>L20/L7-1</f>
        <v>-0.89973520249221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4"/>
  <sheetViews>
    <sheetView tabSelected="0" workbookViewId="0" showGridLines="true" showRowColHeaders="1">
      <pane xSplit="3" ySplit="5" activePane="bottomRight" state="frozen" topLeftCell="D6"/>
      <selection pane="bottomRight" activeCell="A19" sqref="A19:L24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24</v>
      </c>
    </row>
    <row r="2" spans="1:12" customHeight="1" ht="48">
      <c r="A2" s="7" t="s">
        <v>204</v>
      </c>
    </row>
    <row r="3" spans="1:12">
      <c r="D3" t="s">
        <v>179</v>
      </c>
      <c r="E3" s="8">
        <f>'Hypothèses'!$C$9</f>
        <v>2260</v>
      </c>
      <c r="G3" t="s">
        <v>179</v>
      </c>
      <c r="H3" s="8">
        <f>'Hypothèses'!$C$10</f>
        <v>2790</v>
      </c>
      <c r="J3" t="s">
        <v>179</v>
      </c>
      <c r="K3" s="8">
        <f>'Hypothèses'!$C$11</f>
        <v>3070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205</v>
      </c>
      <c r="B6" t="s">
        <v>21</v>
      </c>
      <c r="C6" t="s">
        <v>206</v>
      </c>
      <c r="D6" s="11">
        <f>'Hypothèses'!$C$13+'Hypothèses'!$C$15</f>
        <v>230</v>
      </c>
      <c r="E6" s="12">
        <f>'Hypothèses'!$C$9</f>
        <v>2260</v>
      </c>
      <c r="F6" s="12">
        <f>D6*E6</f>
        <v>519800</v>
      </c>
      <c r="G6" s="11">
        <f>'Hypothèses'!$C$13+'Hypothèses'!$C$15</f>
        <v>230</v>
      </c>
      <c r="H6" s="12">
        <f>'Hypothèses'!$C$10</f>
        <v>2790</v>
      </c>
      <c r="I6" s="12">
        <f>G6*H6</f>
        <v>641700</v>
      </c>
      <c r="J6" s="11">
        <f>'Hypothèses'!$C$13+'Hypothèses'!$C$15</f>
        <v>230</v>
      </c>
      <c r="K6" s="12">
        <f>'Hypothèses'!$C$11</f>
        <v>3070</v>
      </c>
      <c r="L6" s="12">
        <f>J6*K6</f>
        <v>706100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535000</v>
      </c>
      <c r="F7" s="10">
        <f>D7*E7</f>
        <v>535000</v>
      </c>
      <c r="G7" s="9">
        <f>1</f>
        <v>1</v>
      </c>
      <c r="H7" s="10">
        <f>'Hypothèses'!$C$6</f>
        <v>535000</v>
      </c>
      <c r="I7" s="10">
        <f>G7*H7</f>
        <v>535000</v>
      </c>
      <c r="J7" s="9">
        <f>1</f>
        <v>1</v>
      </c>
      <c r="K7" s="10">
        <f>'Hypothèses'!$C$6</f>
        <v>535000</v>
      </c>
      <c r="L7" s="10">
        <f>J7*K7</f>
        <v>535000</v>
      </c>
    </row>
    <row r="8" spans="1:12">
      <c r="A8" t="s">
        <v>190</v>
      </c>
      <c r="B8" t="s">
        <v>8</v>
      </c>
      <c r="C8" t="s">
        <v>191</v>
      </c>
      <c r="D8" s="10">
        <f>F7</f>
        <v>535000</v>
      </c>
      <c r="E8" s="13">
        <f>'Hypothèses'!$C$7/100</f>
        <v>0.08</v>
      </c>
      <c r="F8" s="10">
        <f>D8*E8</f>
        <v>42800</v>
      </c>
      <c r="G8" s="10">
        <f>I7</f>
        <v>535000</v>
      </c>
      <c r="H8" s="13">
        <f>'Hypothèses'!$C$7/100</f>
        <v>0.08</v>
      </c>
      <c r="I8" s="10">
        <f>G8*H8</f>
        <v>42800</v>
      </c>
      <c r="J8" s="10">
        <f>L7</f>
        <v>535000</v>
      </c>
      <c r="K8" s="13">
        <f>'Hypothèses'!$C$7/100</f>
        <v>0.08</v>
      </c>
      <c r="L8" s="10">
        <f>J8*K8</f>
        <v>42800</v>
      </c>
    </row>
    <row r="9" spans="1:12">
      <c r="A9" t="s">
        <v>207</v>
      </c>
      <c r="B9" t="s">
        <v>21</v>
      </c>
      <c r="C9" t="s">
        <v>208</v>
      </c>
      <c r="D9" s="9">
        <f>'Hypothèses'!$C$15</f>
        <v>41</v>
      </c>
      <c r="E9" s="10">
        <f>'Hypothèses'!$C$18</f>
        <v>2200</v>
      </c>
      <c r="F9" s="10">
        <f>D9*E9</f>
        <v>90200</v>
      </c>
      <c r="G9" s="9">
        <f>'Hypothèses'!$C$15</f>
        <v>41</v>
      </c>
      <c r="H9" s="10">
        <f>'Hypothèses'!$C$18</f>
        <v>2200</v>
      </c>
      <c r="I9" s="10">
        <f>G9*H9</f>
        <v>90200</v>
      </c>
      <c r="J9" s="9">
        <f>'Hypothèses'!$C$15</f>
        <v>41</v>
      </c>
      <c r="K9" s="10">
        <f>'Hypothèses'!$C$18</f>
        <v>2200</v>
      </c>
      <c r="L9" s="10">
        <f>J9*K9</f>
        <v>90200</v>
      </c>
    </row>
    <row r="10" spans="1:12">
      <c r="A10" t="s">
        <v>209</v>
      </c>
      <c r="B10" t="s">
        <v>21</v>
      </c>
      <c r="C10" t="s">
        <v>210</v>
      </c>
      <c r="D10" s="9">
        <f>'Hypothèses'!$C$15</f>
        <v>41</v>
      </c>
      <c r="E10" s="10">
        <f>'Hypothèses'!$C$19</f>
        <v>0</v>
      </c>
      <c r="F10" s="10">
        <f>D10*E10</f>
        <v>0</v>
      </c>
      <c r="G10" s="9">
        <f>'Hypothèses'!$C$15</f>
        <v>41</v>
      </c>
      <c r="H10" s="10">
        <f>'Hypothèses'!$C$19</f>
        <v>0</v>
      </c>
      <c r="I10" s="10">
        <f>G10*H10</f>
        <v>0</v>
      </c>
      <c r="J10" s="9">
        <f>'Hypothèses'!$C$15</f>
        <v>41</v>
      </c>
      <c r="K10" s="10">
        <f>'Hypothèses'!$C$19</f>
        <v>0</v>
      </c>
      <c r="L10" s="10">
        <f>J10*K10</f>
        <v>0</v>
      </c>
    </row>
    <row r="11" spans="1:12">
      <c r="A11" t="s">
        <v>35</v>
      </c>
      <c r="B11" t="s">
        <v>8</v>
      </c>
      <c r="C11" t="s">
        <v>195</v>
      </c>
      <c r="D11" s="10">
        <f>F9</f>
        <v>90200</v>
      </c>
      <c r="E11" s="13">
        <f>'Hypothèses'!$C$21/100</f>
        <v>0.08</v>
      </c>
      <c r="F11" s="10">
        <f>D11*E11</f>
        <v>7216</v>
      </c>
      <c r="G11" s="10">
        <f>I9</f>
        <v>90200</v>
      </c>
      <c r="H11" s="13">
        <f>'Hypothèses'!$C$21/100</f>
        <v>0.08</v>
      </c>
      <c r="I11" s="10">
        <f>G11*H11</f>
        <v>7216</v>
      </c>
      <c r="J11" s="10">
        <f>L9</f>
        <v>90200</v>
      </c>
      <c r="K11" s="13">
        <f>'Hypothèses'!$C$21/100</f>
        <v>0.08</v>
      </c>
      <c r="L11" s="10">
        <f>J11*K11</f>
        <v>7216</v>
      </c>
    </row>
    <row r="12" spans="1:12">
      <c r="A12" t="s">
        <v>211</v>
      </c>
      <c r="B12" t="s">
        <v>8</v>
      </c>
      <c r="C12" t="s">
        <v>212</v>
      </c>
      <c r="D12" s="10">
        <f>F9+F10+F11</f>
        <v>97416</v>
      </c>
      <c r="E12" s="13">
        <f>'Hypothèses'!$C$22/100</f>
        <v>0.12</v>
      </c>
      <c r="F12" s="10">
        <f>D12*E12</f>
        <v>11689.92000000000007</v>
      </c>
      <c r="G12" s="10">
        <f>I9+I10+I11</f>
        <v>97416</v>
      </c>
      <c r="H12" s="13">
        <f>'Hypothèses'!$C$22/100</f>
        <v>0.12</v>
      </c>
      <c r="I12" s="10">
        <f>G12*H12</f>
        <v>11689.92000000000007</v>
      </c>
      <c r="J12" s="10">
        <f>L9+L10+L11</f>
        <v>97416</v>
      </c>
      <c r="K12" s="13">
        <f>'Hypothèses'!$C$22/100</f>
        <v>0.12</v>
      </c>
      <c r="L12" s="10">
        <f>J12*K12</f>
        <v>11689.92000000000007</v>
      </c>
    </row>
    <row r="13" spans="1:12">
      <c r="A13" t="s">
        <v>125</v>
      </c>
      <c r="B13" t="s">
        <v>21</v>
      </c>
      <c r="C13" t="s">
        <v>213</v>
      </c>
      <c r="D13" s="9">
        <f>'Hypothèses'!$C$15</f>
        <v>41</v>
      </c>
      <c r="E13" s="10">
        <f>'Hypothèses'!$C$24*'Hypothèses'!$C$25/100</f>
        <v>45</v>
      </c>
      <c r="F13" s="10">
        <f>D13*E13</f>
        <v>1845</v>
      </c>
      <c r="G13" s="9">
        <f>'Hypothèses'!$C$15</f>
        <v>41</v>
      </c>
      <c r="H13" s="10">
        <f>'Hypothèses'!$C$24*'Hypothèses'!$C$25/100</f>
        <v>45</v>
      </c>
      <c r="I13" s="10">
        <f>G13*H13</f>
        <v>1845</v>
      </c>
      <c r="J13" s="9">
        <f>'Hypothèses'!$C$15</f>
        <v>41</v>
      </c>
      <c r="K13" s="10">
        <f>'Hypothèses'!$C$24*'Hypothèses'!$C$25/100</f>
        <v>45</v>
      </c>
      <c r="L13" s="10">
        <f>J13*K13</f>
        <v>1845</v>
      </c>
    </row>
    <row r="14" spans="1:12">
      <c r="A14" t="s">
        <v>45</v>
      </c>
      <c r="B14" t="s">
        <v>8</v>
      </c>
      <c r="C14" t="s">
        <v>195</v>
      </c>
      <c r="D14" s="10">
        <f>F9+F10</f>
        <v>90200</v>
      </c>
      <c r="E14" s="13">
        <f>'Hypothèses'!$C$26/100</f>
        <v>0.03</v>
      </c>
      <c r="F14" s="10">
        <f>D14*E14</f>
        <v>2706</v>
      </c>
      <c r="G14" s="10">
        <f>I9+I10</f>
        <v>90200</v>
      </c>
      <c r="H14" s="13">
        <f>'Hypothèses'!$C$26/100</f>
        <v>0.03</v>
      </c>
      <c r="I14" s="10">
        <f>G14*H14</f>
        <v>2706</v>
      </c>
      <c r="J14" s="10">
        <f>L9+L10</f>
        <v>90200</v>
      </c>
      <c r="K14" s="13">
        <f>'Hypothèses'!$C$26/100</f>
        <v>0.03</v>
      </c>
      <c r="L14" s="10">
        <f>J14*K14</f>
        <v>2706</v>
      </c>
    </row>
    <row r="15" spans="1:12">
      <c r="A15" t="s">
        <v>46</v>
      </c>
      <c r="B15" t="s">
        <v>8</v>
      </c>
      <c r="C15" t="s">
        <v>195</v>
      </c>
      <c r="D15" s="10">
        <f>F9+F10+F11</f>
        <v>97416</v>
      </c>
      <c r="E15" s="13">
        <f>'Hypothèses'!$C$27/100</f>
        <v>0.1</v>
      </c>
      <c r="F15" s="10">
        <f>D15*E15</f>
        <v>9741.60000000000036</v>
      </c>
      <c r="G15" s="10">
        <f>I9+I10+I11</f>
        <v>97416</v>
      </c>
      <c r="H15" s="13">
        <f>'Hypothèses'!$C$27/100</f>
        <v>0.1</v>
      </c>
      <c r="I15" s="10">
        <f>G15*H15</f>
        <v>9741.60000000000036</v>
      </c>
      <c r="J15" s="10">
        <f>L9+L10+L11</f>
        <v>97416</v>
      </c>
      <c r="K15" s="13">
        <f>'Hypothèses'!$C$27/100</f>
        <v>0.1</v>
      </c>
      <c r="L15" s="10">
        <f>J15*K15</f>
        <v>9741.60000000000036</v>
      </c>
    </row>
    <row r="16" spans="1:12">
      <c r="A16" t="s">
        <v>196</v>
      </c>
      <c r="B16" t="s">
        <v>8</v>
      </c>
      <c r="C16" t="s">
        <v>197</v>
      </c>
      <c r="D16" s="10">
        <f>F7+F8+0.5*(F9+F10+F11+F12+F14+F15)</f>
        <v>638576.76000000000931</v>
      </c>
      <c r="E16" s="13">
        <f>'Hypothèses'!$C$30/100*'Hypothèses'!$C$32/12</f>
        <v>0.083333333333333</v>
      </c>
      <c r="F16" s="10">
        <f>D16*E16</f>
        <v>53214.72999999999593</v>
      </c>
      <c r="G16" s="10">
        <f>I7+I8+0.5*(I9+I10+I11+I12+I14+I15)</f>
        <v>638576.76000000000931</v>
      </c>
      <c r="H16" s="13">
        <f>'Hypothèses'!$C$30/100*'Hypothèses'!$C$32/12</f>
        <v>0.083333333333333</v>
      </c>
      <c r="I16" s="10">
        <f>G16*H16</f>
        <v>53214.72999999999593</v>
      </c>
      <c r="J16" s="10">
        <f>L7+L8+0.5*(L9+L10+L11+L12+L14+L15)</f>
        <v>638576.76000000000931</v>
      </c>
      <c r="K16" s="13">
        <f>'Hypothèses'!$C$30/100*'Hypothèses'!$C$32/12</f>
        <v>0.083333333333333</v>
      </c>
      <c r="L16" s="10">
        <f>J16*K16</f>
        <v>53214.72999999999593</v>
      </c>
    </row>
    <row r="17" spans="1:12">
      <c r="A17" t="s">
        <v>48</v>
      </c>
      <c r="B17" t="s">
        <v>8</v>
      </c>
      <c r="C17" t="s">
        <v>198</v>
      </c>
      <c r="D17" s="10">
        <f>F6</f>
        <v>519800</v>
      </c>
      <c r="E17" s="13">
        <f>'Hypothèses'!$C$28/100</f>
        <v>0.03</v>
      </c>
      <c r="F17" s="10">
        <f>D17*E17</f>
        <v>15594</v>
      </c>
      <c r="G17" s="10">
        <f>I6</f>
        <v>641700</v>
      </c>
      <c r="H17" s="13">
        <f>'Hypothèses'!$C$28/100</f>
        <v>0.03</v>
      </c>
      <c r="I17" s="10">
        <f>G17*H17</f>
        <v>19251</v>
      </c>
      <c r="J17" s="10">
        <f>L6</f>
        <v>706100</v>
      </c>
      <c r="K17" s="13">
        <f>'Hypothèses'!$C$28/100</f>
        <v>0.03</v>
      </c>
      <c r="L17" s="10">
        <f>J17*K17</f>
        <v>21183</v>
      </c>
    </row>
    <row r="19" spans="1:12">
      <c r="A19" s="15" t="s">
        <v>199</v>
      </c>
      <c r="B19" s="16"/>
      <c r="C19" s="16"/>
      <c r="D19" s="16"/>
      <c r="E19" s="16"/>
      <c r="F19" s="17">
        <f>F7+F8+F9+F10+F11+F12+F13+F14+F15+F16+F17</f>
        <v>770007.25</v>
      </c>
      <c r="G19" s="16"/>
      <c r="H19" s="16"/>
      <c r="I19" s="17">
        <f>I7+I8+I9+I10+I11+I12+I13+I14+I15+I16+I17</f>
        <v>773664.25</v>
      </c>
      <c r="J19" s="16"/>
      <c r="K19" s="16"/>
      <c r="L19" s="17">
        <f>L7+L8+L9+L10+L11+L12+L13+L14+L15+L16+L17</f>
        <v>775596.25</v>
      </c>
    </row>
    <row r="20" spans="1:12">
      <c r="A20" s="1" t="s">
        <v>200</v>
      </c>
      <c r="F20" s="10">
        <f>F6-(F7+F8+F9+F10+F11+F12+F13+F14+F15)</f>
        <v>-181398.52000000001863</v>
      </c>
      <c r="I20" s="10">
        <f>I6-(I7+I8+I9+I10+I11+I12+I13+I14+I15)</f>
        <v>-59498.52000000001863</v>
      </c>
      <c r="L20" s="10">
        <f>L6-(L7+L8+L9+L10+L11+L12+L13+L14+L15)</f>
        <v>4901.47999999998137</v>
      </c>
    </row>
    <row r="21" spans="1:12">
      <c r="A21" s="1" t="s">
        <v>151</v>
      </c>
      <c r="F21" s="12">
        <f>F6-F19</f>
        <v>-250207.25</v>
      </c>
      <c r="I21" s="12">
        <f>I6-I19</f>
        <v>-131964.25</v>
      </c>
      <c r="L21" s="12">
        <f>L6-L19</f>
        <v>-69496.25</v>
      </c>
    </row>
    <row r="22" spans="1:12">
      <c r="A22" s="1" t="s">
        <v>201</v>
      </c>
      <c r="F22" s="14">
        <f>F21/F6</f>
        <v>-0.48135292420162</v>
      </c>
      <c r="I22" s="14">
        <f>I21/I6</f>
        <v>-0.20564788842138</v>
      </c>
      <c r="L22" s="14">
        <f>L21/L6</f>
        <v>-0.098422673842232</v>
      </c>
    </row>
    <row r="23" spans="1:12">
      <c r="A23" s="1" t="s">
        <v>202</v>
      </c>
      <c r="F23" s="10">
        <f>F7+(F21-'Hypothèses'!$C$33/100*F6)/((1+'Hypothèses'!$C$7/100)*(1+'Hypothèses'!$C$30/100*'Hypothèses'!$C$32/12))</f>
        <v>254506.6239316239371</v>
      </c>
      <c r="I23" s="10">
        <f>I7+(I21-'Hypothèses'!$C$33/100*I6)/((1+'Hypothèses'!$C$7/100)*(1+'Hypothèses'!$C$30/100*'Hypothèses'!$C$32/12))</f>
        <v>339940.81196581193944</v>
      </c>
      <c r="L23" s="10">
        <f>L7+(L21-'Hypothèses'!$C$33/100*L6)/((1+'Hypothèses'!$C$7/100)*(1+'Hypothèses'!$C$30/100*'Hypothèses'!$C$32/12))</f>
        <v>385075.85470085468842</v>
      </c>
    </row>
    <row r="24" spans="1:12">
      <c r="A24" s="1" t="s">
        <v>203</v>
      </c>
      <c r="F24" s="13">
        <f>F23/F7-1</f>
        <v>-0.52428668423996</v>
      </c>
      <c r="I24" s="13">
        <f>I23/I7-1</f>
        <v>-0.36459661314802</v>
      </c>
      <c r="L24" s="13">
        <f>L23/L7-1</f>
        <v>-0.28023204728812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0" workbookViewId="0" showGridLines="true" showRowColHeaders="1">
      <pane xSplit="3" ySplit="5" activePane="bottomRight" state="frozen" topLeftCell="D6"/>
      <selection pane="bottomRight" activeCell="A17" sqref="A17:L22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162</v>
      </c>
    </row>
    <row r="2" spans="1:12" customHeight="1" ht="48">
      <c r="A2" s="7" t="s">
        <v>214</v>
      </c>
    </row>
    <row r="3" spans="1:12">
      <c r="D3" t="s">
        <v>179</v>
      </c>
      <c r="E3" s="8">
        <f>'Hypothèses'!$C$9</f>
        <v>2260</v>
      </c>
      <c r="G3" t="s">
        <v>179</v>
      </c>
      <c r="H3" s="8">
        <f>'Hypothèses'!$C$10</f>
        <v>2790</v>
      </c>
      <c r="J3" t="s">
        <v>179</v>
      </c>
      <c r="K3" s="8">
        <f>'Hypothèses'!$C$11</f>
        <v>3070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215</v>
      </c>
      <c r="B6" t="s">
        <v>21</v>
      </c>
      <c r="C6" t="s">
        <v>216</v>
      </c>
      <c r="D6" s="11">
        <f>'Hypothèses'!$C$13+'Hypothèses'!$C$35</f>
        <v>230</v>
      </c>
      <c r="E6" s="12">
        <f>'Hypothèses'!$C$9</f>
        <v>2260</v>
      </c>
      <c r="F6" s="12">
        <f>D6*E6</f>
        <v>519800</v>
      </c>
      <c r="G6" s="11">
        <f>'Hypothèses'!$C$13+'Hypothèses'!$C$35</f>
        <v>230</v>
      </c>
      <c r="H6" s="12">
        <f>'Hypothèses'!$C$10</f>
        <v>2790</v>
      </c>
      <c r="I6" s="12">
        <f>G6*H6</f>
        <v>641700</v>
      </c>
      <c r="J6" s="11">
        <f>'Hypothèses'!$C$13+'Hypothèses'!$C$35</f>
        <v>230</v>
      </c>
      <c r="K6" s="12">
        <f>'Hypothèses'!$C$11</f>
        <v>3070</v>
      </c>
      <c r="L6" s="12">
        <f>J6*K6</f>
        <v>706100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535000</v>
      </c>
      <c r="F7" s="10">
        <f>D7*E7</f>
        <v>535000</v>
      </c>
      <c r="G7" s="9">
        <f>1</f>
        <v>1</v>
      </c>
      <c r="H7" s="10">
        <f>'Hypothèses'!$C$6</f>
        <v>535000</v>
      </c>
      <c r="I7" s="10">
        <f>G7*H7</f>
        <v>535000</v>
      </c>
      <c r="J7" s="9">
        <f>1</f>
        <v>1</v>
      </c>
      <c r="K7" s="10">
        <f>'Hypothèses'!$C$6</f>
        <v>535000</v>
      </c>
      <c r="L7" s="10">
        <f>J7*K7</f>
        <v>535000</v>
      </c>
    </row>
    <row r="8" spans="1:12">
      <c r="A8" t="s">
        <v>190</v>
      </c>
      <c r="B8" t="s">
        <v>8</v>
      </c>
      <c r="C8" t="s">
        <v>191</v>
      </c>
      <c r="D8" s="10">
        <f>F7</f>
        <v>535000</v>
      </c>
      <c r="E8" s="13">
        <f>'Hypothèses'!$C$7/100</f>
        <v>0.08</v>
      </c>
      <c r="F8" s="10">
        <f>D8*E8</f>
        <v>42800</v>
      </c>
      <c r="G8" s="10">
        <f>I7</f>
        <v>535000</v>
      </c>
      <c r="H8" s="13">
        <f>'Hypothèses'!$C$7/100</f>
        <v>0.08</v>
      </c>
      <c r="I8" s="10">
        <f>G8*H8</f>
        <v>42800</v>
      </c>
      <c r="J8" s="10">
        <f>L7</f>
        <v>535000</v>
      </c>
      <c r="K8" s="13">
        <f>'Hypothèses'!$C$7/100</f>
        <v>0.08</v>
      </c>
      <c r="L8" s="10">
        <f>J8*K8</f>
        <v>42800</v>
      </c>
    </row>
    <row r="9" spans="1:12">
      <c r="A9" t="s">
        <v>217</v>
      </c>
      <c r="B9" t="s">
        <v>21</v>
      </c>
      <c r="C9" t="s">
        <v>218</v>
      </c>
      <c r="D9" s="9">
        <f>'Hypothèses'!$C$35</f>
        <v>41</v>
      </c>
      <c r="E9" s="10">
        <f>'Hypothèses'!$C$18*1.2</f>
        <v>2640</v>
      </c>
      <c r="F9" s="10">
        <f>D9*E9</f>
        <v>108240</v>
      </c>
      <c r="G9" s="9">
        <f>'Hypothèses'!$C$35</f>
        <v>41</v>
      </c>
      <c r="H9" s="10">
        <f>'Hypothèses'!$C$18*1.2</f>
        <v>2640</v>
      </c>
      <c r="I9" s="10">
        <f>G9*H9</f>
        <v>108240</v>
      </c>
      <c r="J9" s="9">
        <f>'Hypothèses'!$C$35</f>
        <v>41</v>
      </c>
      <c r="K9" s="10">
        <f>'Hypothèses'!$C$18*1.2</f>
        <v>2640</v>
      </c>
      <c r="L9" s="10">
        <f>J9*K9</f>
        <v>108240</v>
      </c>
    </row>
    <row r="10" spans="1:12">
      <c r="A10" t="s">
        <v>211</v>
      </c>
      <c r="B10" t="s">
        <v>8</v>
      </c>
      <c r="C10" t="s">
        <v>219</v>
      </c>
      <c r="D10" s="10">
        <f>F9</f>
        <v>108240</v>
      </c>
      <c r="E10" s="13">
        <f>'Hypothèses'!$C$22/100</f>
        <v>0.12</v>
      </c>
      <c r="F10" s="10">
        <f>D10*E10</f>
        <v>12988.79999999999927</v>
      </c>
      <c r="G10" s="10">
        <f>I9</f>
        <v>108240</v>
      </c>
      <c r="H10" s="13">
        <f>'Hypothèses'!$C$22/100</f>
        <v>0.12</v>
      </c>
      <c r="I10" s="10">
        <f>G10*H10</f>
        <v>12988.79999999999927</v>
      </c>
      <c r="J10" s="10">
        <f>L9</f>
        <v>108240</v>
      </c>
      <c r="K10" s="13">
        <f>'Hypothèses'!$C$22/100</f>
        <v>0.12</v>
      </c>
      <c r="L10" s="10">
        <f>J10*K10</f>
        <v>12988.79999999999927</v>
      </c>
    </row>
    <row r="11" spans="1:12">
      <c r="A11" t="s">
        <v>125</v>
      </c>
      <c r="B11" t="s">
        <v>21</v>
      </c>
      <c r="C11" t="s">
        <v>213</v>
      </c>
      <c r="D11" s="9">
        <f>'Hypothèses'!$C$35</f>
        <v>41</v>
      </c>
      <c r="E11" s="10">
        <f>'Hypothèses'!$C$24*'Hypothèses'!$C$25/100</f>
        <v>45</v>
      </c>
      <c r="F11" s="10">
        <f>D11*E11</f>
        <v>1845</v>
      </c>
      <c r="G11" s="9">
        <f>'Hypothèses'!$C$35</f>
        <v>41</v>
      </c>
      <c r="H11" s="10">
        <f>'Hypothèses'!$C$24*'Hypothèses'!$C$25/100</f>
        <v>45</v>
      </c>
      <c r="I11" s="10">
        <f>G11*H11</f>
        <v>1845</v>
      </c>
      <c r="J11" s="9">
        <f>'Hypothèses'!$C$35</f>
        <v>41</v>
      </c>
      <c r="K11" s="10">
        <f>'Hypothèses'!$C$24*'Hypothèses'!$C$25/100</f>
        <v>45</v>
      </c>
      <c r="L11" s="10">
        <f>J11*K11</f>
        <v>1845</v>
      </c>
    </row>
    <row r="12" spans="1:12">
      <c r="A12" t="s">
        <v>45</v>
      </c>
      <c r="B12" t="s">
        <v>8</v>
      </c>
      <c r="C12" t="s">
        <v>195</v>
      </c>
      <c r="D12" s="10">
        <f>F9</f>
        <v>108240</v>
      </c>
      <c r="E12" s="13">
        <f>'Hypothèses'!$C$26/100</f>
        <v>0.03</v>
      </c>
      <c r="F12" s="10">
        <f>D12*E12</f>
        <v>3247.19999999999982</v>
      </c>
      <c r="G12" s="10">
        <f>I9</f>
        <v>108240</v>
      </c>
      <c r="H12" s="13">
        <f>'Hypothèses'!$C$26/100</f>
        <v>0.03</v>
      </c>
      <c r="I12" s="10">
        <f>G12*H12</f>
        <v>3247.19999999999982</v>
      </c>
      <c r="J12" s="10">
        <f>L9</f>
        <v>108240</v>
      </c>
      <c r="K12" s="13">
        <f>'Hypothèses'!$C$26/100</f>
        <v>0.03</v>
      </c>
      <c r="L12" s="10">
        <f>J12*K12</f>
        <v>3247.19999999999982</v>
      </c>
    </row>
    <row r="13" spans="1:12">
      <c r="A13" t="s">
        <v>46</v>
      </c>
      <c r="B13" t="s">
        <v>8</v>
      </c>
      <c r="C13" t="s">
        <v>195</v>
      </c>
      <c r="D13" s="10">
        <f>F9</f>
        <v>108240</v>
      </c>
      <c r="E13" s="13">
        <f>'Hypothèses'!$C$27/100</f>
        <v>0.1</v>
      </c>
      <c r="F13" s="10">
        <f>D13*E13</f>
        <v>10824</v>
      </c>
      <c r="G13" s="10">
        <f>I9</f>
        <v>108240</v>
      </c>
      <c r="H13" s="13">
        <f>'Hypothèses'!$C$27/100</f>
        <v>0.1</v>
      </c>
      <c r="I13" s="10">
        <f>G13*H13</f>
        <v>10824</v>
      </c>
      <c r="J13" s="10">
        <f>L9</f>
        <v>108240</v>
      </c>
      <c r="K13" s="13">
        <f>'Hypothèses'!$C$27/100</f>
        <v>0.1</v>
      </c>
      <c r="L13" s="10">
        <f>J13*K13</f>
        <v>10824</v>
      </c>
    </row>
    <row r="14" spans="1:12">
      <c r="A14" t="s">
        <v>196</v>
      </c>
      <c r="B14" t="s">
        <v>8</v>
      </c>
      <c r="C14" t="s">
        <v>197</v>
      </c>
      <c r="D14" s="10">
        <f>F7+F8+0.5*(F9+F10+F12+F13)</f>
        <v>645450</v>
      </c>
      <c r="E14" s="13">
        <f>'Hypothèses'!$C$30/100*'Hypothèses'!$C$32/12</f>
        <v>0.083333333333333</v>
      </c>
      <c r="F14" s="10">
        <f>D14*E14</f>
        <v>53787.5</v>
      </c>
      <c r="G14" s="10">
        <f>I7+I8+0.5*(I9+I10+I12+I13)</f>
        <v>645450</v>
      </c>
      <c r="H14" s="13">
        <f>'Hypothèses'!$C$30/100*'Hypothèses'!$C$32/12</f>
        <v>0.083333333333333</v>
      </c>
      <c r="I14" s="10">
        <f>G14*H14</f>
        <v>53787.5</v>
      </c>
      <c r="J14" s="10">
        <f>L7+L8+0.5*(L9+L10+L12+L13)</f>
        <v>645450</v>
      </c>
      <c r="K14" s="13">
        <f>'Hypothèses'!$C$30/100*'Hypothèses'!$C$32/12</f>
        <v>0.083333333333333</v>
      </c>
      <c r="L14" s="10">
        <f>J14*K14</f>
        <v>53787.5</v>
      </c>
    </row>
    <row r="15" spans="1:12">
      <c r="A15" t="s">
        <v>48</v>
      </c>
      <c r="B15" t="s">
        <v>8</v>
      </c>
      <c r="C15" t="s">
        <v>198</v>
      </c>
      <c r="D15" s="10">
        <f>F6</f>
        <v>519800</v>
      </c>
      <c r="E15" s="13">
        <f>'Hypothèses'!$C$28/100</f>
        <v>0.03</v>
      </c>
      <c r="F15" s="10">
        <f>D15*E15</f>
        <v>15594</v>
      </c>
      <c r="G15" s="10">
        <f>I6</f>
        <v>641700</v>
      </c>
      <c r="H15" s="13">
        <f>'Hypothèses'!$C$28/100</f>
        <v>0.03</v>
      </c>
      <c r="I15" s="10">
        <f>G15*H15</f>
        <v>19251</v>
      </c>
      <c r="J15" s="10">
        <f>L6</f>
        <v>706100</v>
      </c>
      <c r="K15" s="13">
        <f>'Hypothèses'!$C$28/100</f>
        <v>0.03</v>
      </c>
      <c r="L15" s="10">
        <f>J15*K15</f>
        <v>21183</v>
      </c>
    </row>
    <row r="17" spans="1:12">
      <c r="A17" s="15" t="s">
        <v>199</v>
      </c>
      <c r="B17" s="16"/>
      <c r="C17" s="16"/>
      <c r="D17" s="16"/>
      <c r="E17" s="16"/>
      <c r="F17" s="17">
        <f>F7+F8+F9+F10+F11+F12+F13+F14+F15</f>
        <v>784326.5</v>
      </c>
      <c r="G17" s="16"/>
      <c r="H17" s="16"/>
      <c r="I17" s="17">
        <f>I7+I8+I9+I10+I11+I12+I13+I14+I15</f>
        <v>787983.5</v>
      </c>
      <c r="J17" s="16"/>
      <c r="K17" s="16"/>
      <c r="L17" s="17">
        <f>L7+L8+L9+L10+L11+L12+L13+L14+L15</f>
        <v>789915.5</v>
      </c>
    </row>
    <row r="18" spans="1:12">
      <c r="A18" s="1" t="s">
        <v>200</v>
      </c>
      <c r="F18" s="10">
        <f>F6-(F7+F8+F9+F10+F11+F12+F13)</f>
        <v>-195145</v>
      </c>
      <c r="I18" s="10">
        <f>I6-(I7+I8+I9+I10+I11+I12+I13)</f>
        <v>-73245</v>
      </c>
      <c r="L18" s="10">
        <f>L6-(L7+L8+L9+L10+L11+L12+L13)</f>
        <v>-8845</v>
      </c>
    </row>
    <row r="19" spans="1:12">
      <c r="A19" s="1" t="s">
        <v>151</v>
      </c>
      <c r="F19" s="12">
        <f>F6-F17</f>
        <v>-264526.5</v>
      </c>
      <c r="I19" s="12">
        <f>I6-I17</f>
        <v>-146283.5</v>
      </c>
      <c r="L19" s="12">
        <f>L6-L17</f>
        <v>-83815.5</v>
      </c>
    </row>
    <row r="20" spans="1:12">
      <c r="A20" s="1" t="s">
        <v>201</v>
      </c>
      <c r="F20" s="14">
        <f>F19/F6</f>
        <v>-0.50890053866872</v>
      </c>
      <c r="I20" s="14">
        <f>I19/I6</f>
        <v>-0.22796244350943</v>
      </c>
      <c r="L20" s="14">
        <f>L19/L6</f>
        <v>-0.11870202520889</v>
      </c>
    </row>
    <row r="21" spans="1:12">
      <c r="A21" s="1" t="s">
        <v>202</v>
      </c>
      <c r="F21" s="10">
        <f>F7+(F19-'Hypothèses'!$C$33/100*F6)/((1+'Hypothèses'!$C$7/100)*(1+'Hypothèses'!$C$30/100*'Hypothèses'!$C$32/12))</f>
        <v>242267.94871794868959</v>
      </c>
      <c r="I21" s="10">
        <f>I7+(I19-'Hypothèses'!$C$33/100*I6)/((1+'Hypothèses'!$C$7/100)*(1+'Hypothèses'!$C$30/100*'Hypothèses'!$C$32/12))</f>
        <v>327702.13675213675015</v>
      </c>
      <c r="L21" s="10">
        <f>L7+(L19-'Hypothèses'!$C$33/100*L6)/((1+'Hypothèses'!$C$7/100)*(1+'Hypothèses'!$C$30/100*'Hypothèses'!$C$32/12))</f>
        <v>372837.17948717949912</v>
      </c>
    </row>
    <row r="22" spans="1:12">
      <c r="A22" s="1" t="s">
        <v>203</v>
      </c>
      <c r="F22" s="13">
        <f>F21/F7-1</f>
        <v>-0.54716271267673</v>
      </c>
      <c r="I22" s="13">
        <f>I21/I7-1</f>
        <v>-0.38747264158479</v>
      </c>
      <c r="L22" s="13">
        <f>L21/L7-1</f>
        <v>-0.3031080757249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0" workbookViewId="0" showGridLines="true" showRowColHeaders="1">
      <pane xSplit="3" ySplit="5" activePane="bottomRight" state="frozen" topLeftCell="D6"/>
      <selection pane="bottomRight" activeCell="A20" sqref="A20:L25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164</v>
      </c>
    </row>
    <row r="2" spans="1:12" customHeight="1" ht="48">
      <c r="A2" s="7" t="s">
        <v>220</v>
      </c>
    </row>
    <row r="3" spans="1:12">
      <c r="D3" t="s">
        <v>179</v>
      </c>
      <c r="E3" s="8">
        <f>'Hypothèses'!$C$9</f>
        <v>2260</v>
      </c>
      <c r="G3" t="s">
        <v>179</v>
      </c>
      <c r="H3" s="8">
        <f>'Hypothèses'!$C$10</f>
        <v>2790</v>
      </c>
      <c r="J3" t="s">
        <v>179</v>
      </c>
      <c r="K3" s="8">
        <f>'Hypothèses'!$C$11</f>
        <v>3070</v>
      </c>
    </row>
    <row r="4" spans="1:12">
      <c r="A4" s="3" t="s">
        <v>2</v>
      </c>
      <c r="B4" s="3" t="s">
        <v>3</v>
      </c>
      <c r="C4" s="3" t="s">
        <v>5</v>
      </c>
      <c r="D4" s="3" t="s">
        <v>178</v>
      </c>
      <c r="E4" s="3"/>
      <c r="F4" s="3"/>
      <c r="G4" s="3" t="s">
        <v>183</v>
      </c>
      <c r="H4" s="3"/>
      <c r="I4" s="3"/>
      <c r="J4" s="3" t="s">
        <v>184</v>
      </c>
      <c r="K4" s="3"/>
      <c r="L4" s="3"/>
    </row>
    <row r="5" spans="1:12">
      <c r="A5" s="3"/>
      <c r="B5" s="3"/>
      <c r="C5" s="3"/>
      <c r="D5" s="3" t="s">
        <v>180</v>
      </c>
      <c r="E5" s="3" t="s">
        <v>181</v>
      </c>
      <c r="F5" s="3" t="s">
        <v>182</v>
      </c>
      <c r="G5" s="3" t="s">
        <v>180</v>
      </c>
      <c r="H5" s="3" t="s">
        <v>181</v>
      </c>
      <c r="I5" s="3" t="s">
        <v>182</v>
      </c>
      <c r="J5" s="3" t="s">
        <v>180</v>
      </c>
      <c r="K5" s="3" t="s">
        <v>181</v>
      </c>
      <c r="L5" s="3" t="s">
        <v>182</v>
      </c>
    </row>
    <row r="6" spans="1:12">
      <c r="A6" t="s">
        <v>221</v>
      </c>
      <c r="B6" t="s">
        <v>21</v>
      </c>
      <c r="C6" t="s">
        <v>222</v>
      </c>
      <c r="D6" s="11">
        <f>'Hypothèses'!$C$13+'Hypothèses'!$C$14</f>
        <v>230</v>
      </c>
      <c r="E6" s="12">
        <f>'Hypothèses'!$C$9</f>
        <v>2260</v>
      </c>
      <c r="F6" s="12">
        <f>D6*E6</f>
        <v>519800</v>
      </c>
      <c r="G6" s="11">
        <f>'Hypothèses'!$C$13+'Hypothèses'!$C$14</f>
        <v>230</v>
      </c>
      <c r="H6" s="12">
        <f>'Hypothèses'!$C$10</f>
        <v>2790</v>
      </c>
      <c r="I6" s="12">
        <f>G6*H6</f>
        <v>641700</v>
      </c>
      <c r="J6" s="11">
        <f>'Hypothèses'!$C$13+'Hypothèses'!$C$14</f>
        <v>230</v>
      </c>
      <c r="K6" s="12">
        <f>'Hypothèses'!$C$11</f>
        <v>3070</v>
      </c>
      <c r="L6" s="12">
        <f>J6*K6</f>
        <v>706100</v>
      </c>
    </row>
    <row r="7" spans="1:12">
      <c r="A7" t="s">
        <v>187</v>
      </c>
      <c r="B7" t="s">
        <v>188</v>
      </c>
      <c r="C7" t="s">
        <v>189</v>
      </c>
      <c r="D7" s="9">
        <f>1</f>
        <v>1</v>
      </c>
      <c r="E7" s="10">
        <f>'Hypothèses'!$C$6</f>
        <v>535000</v>
      </c>
      <c r="F7" s="10">
        <f>D7*E7</f>
        <v>535000</v>
      </c>
      <c r="G7" s="9">
        <f>1</f>
        <v>1</v>
      </c>
      <c r="H7" s="10">
        <f>'Hypothèses'!$C$6</f>
        <v>535000</v>
      </c>
      <c r="I7" s="10">
        <f>G7*H7</f>
        <v>535000</v>
      </c>
      <c r="J7" s="9">
        <f>1</f>
        <v>1</v>
      </c>
      <c r="K7" s="10">
        <f>'Hypothèses'!$C$6</f>
        <v>535000</v>
      </c>
      <c r="L7" s="10">
        <f>J7*K7</f>
        <v>535000</v>
      </c>
    </row>
    <row r="8" spans="1:12">
      <c r="A8" t="s">
        <v>190</v>
      </c>
      <c r="B8" t="s">
        <v>8</v>
      </c>
      <c r="C8" t="s">
        <v>191</v>
      </c>
      <c r="D8" s="10">
        <f>F7</f>
        <v>535000</v>
      </c>
      <c r="E8" s="13">
        <f>'Hypothèses'!$C$7/100</f>
        <v>0.08</v>
      </c>
      <c r="F8" s="10">
        <f>D8*E8</f>
        <v>42800</v>
      </c>
      <c r="G8" s="10">
        <f>I7</f>
        <v>535000</v>
      </c>
      <c r="H8" s="13">
        <f>'Hypothèses'!$C$7/100</f>
        <v>0.08</v>
      </c>
      <c r="I8" s="10">
        <f>G8*H8</f>
        <v>42800</v>
      </c>
      <c r="J8" s="10">
        <f>L7</f>
        <v>535000</v>
      </c>
      <c r="K8" s="13">
        <f>'Hypothèses'!$C$7/100</f>
        <v>0.08</v>
      </c>
      <c r="L8" s="10">
        <f>J8*K8</f>
        <v>42800</v>
      </c>
    </row>
    <row r="9" spans="1:12">
      <c r="A9" t="s">
        <v>223</v>
      </c>
      <c r="B9" t="s">
        <v>21</v>
      </c>
      <c r="C9" t="s">
        <v>193</v>
      </c>
      <c r="D9" s="9">
        <f>'Hypothèses'!$C$13</f>
        <v>189</v>
      </c>
      <c r="E9" s="10">
        <f>'Hypothèses'!$C$17</f>
        <v>1800</v>
      </c>
      <c r="F9" s="10">
        <f>D9*E9</f>
        <v>340200</v>
      </c>
      <c r="G9" s="9">
        <f>'Hypothèses'!$C$13</f>
        <v>189</v>
      </c>
      <c r="H9" s="10">
        <f>'Hypothèses'!$C$17</f>
        <v>1800</v>
      </c>
      <c r="I9" s="10">
        <f>G9*H9</f>
        <v>340200</v>
      </c>
      <c r="J9" s="9">
        <f>'Hypothèses'!$C$13</f>
        <v>189</v>
      </c>
      <c r="K9" s="10">
        <f>'Hypothèses'!$C$17</f>
        <v>1800</v>
      </c>
      <c r="L9" s="10">
        <f>J9*K9</f>
        <v>340200</v>
      </c>
    </row>
    <row r="10" spans="1:12">
      <c r="A10" t="s">
        <v>207</v>
      </c>
      <c r="B10" t="s">
        <v>21</v>
      </c>
      <c r="C10" t="s">
        <v>208</v>
      </c>
      <c r="D10" s="9">
        <f>'Hypothèses'!$C$14</f>
        <v>41</v>
      </c>
      <c r="E10" s="10">
        <f>'Hypothèses'!$C$18</f>
        <v>2200</v>
      </c>
      <c r="F10" s="10">
        <f>D10*E10</f>
        <v>90200</v>
      </c>
      <c r="G10" s="9">
        <f>'Hypothèses'!$C$14</f>
        <v>41</v>
      </c>
      <c r="H10" s="10">
        <f>'Hypothèses'!$C$18</f>
        <v>2200</v>
      </c>
      <c r="I10" s="10">
        <f>G10*H10</f>
        <v>90200</v>
      </c>
      <c r="J10" s="9">
        <f>'Hypothèses'!$C$14</f>
        <v>41</v>
      </c>
      <c r="K10" s="10">
        <f>'Hypothèses'!$C$18</f>
        <v>2200</v>
      </c>
      <c r="L10" s="10">
        <f>J10*K10</f>
        <v>90200</v>
      </c>
    </row>
    <row r="11" spans="1:12">
      <c r="A11" t="s">
        <v>209</v>
      </c>
      <c r="B11" t="s">
        <v>21</v>
      </c>
      <c r="C11" t="s">
        <v>210</v>
      </c>
      <c r="D11" s="9">
        <f>'Hypothèses'!$C$14</f>
        <v>41</v>
      </c>
      <c r="E11" s="10">
        <f>'Hypothèses'!$C$19</f>
        <v>0</v>
      </c>
      <c r="F11" s="10">
        <f>D11*E11</f>
        <v>0</v>
      </c>
      <c r="G11" s="9">
        <f>'Hypothèses'!$C$14</f>
        <v>41</v>
      </c>
      <c r="H11" s="10">
        <f>'Hypothèses'!$C$19</f>
        <v>0</v>
      </c>
      <c r="I11" s="10">
        <f>G11*H11</f>
        <v>0</v>
      </c>
      <c r="J11" s="9">
        <f>'Hypothèses'!$C$14</f>
        <v>41</v>
      </c>
      <c r="K11" s="10">
        <f>'Hypothèses'!$C$19</f>
        <v>0</v>
      </c>
      <c r="L11" s="10">
        <f>J11*K11</f>
        <v>0</v>
      </c>
    </row>
    <row r="12" spans="1:12">
      <c r="A12" t="s">
        <v>35</v>
      </c>
      <c r="B12" t="s">
        <v>8</v>
      </c>
      <c r="C12" t="s">
        <v>224</v>
      </c>
      <c r="D12" s="10">
        <f>F10</f>
        <v>90200</v>
      </c>
      <c r="E12" s="13">
        <f>'Hypothèses'!$C$21/100</f>
        <v>0.08</v>
      </c>
      <c r="F12" s="10">
        <f>D12*E12</f>
        <v>7216</v>
      </c>
      <c r="G12" s="10">
        <f>I10</f>
        <v>90200</v>
      </c>
      <c r="H12" s="13">
        <f>'Hypothèses'!$C$21/100</f>
        <v>0.08</v>
      </c>
      <c r="I12" s="10">
        <f>G12*H12</f>
        <v>7216</v>
      </c>
      <c r="J12" s="10">
        <f>L10</f>
        <v>90200</v>
      </c>
      <c r="K12" s="13">
        <f>'Hypothèses'!$C$21/100</f>
        <v>0.08</v>
      </c>
      <c r="L12" s="10">
        <f>J12*K12</f>
        <v>7216</v>
      </c>
    </row>
    <row r="13" spans="1:12">
      <c r="A13" t="s">
        <v>211</v>
      </c>
      <c r="B13" t="s">
        <v>8</v>
      </c>
      <c r="C13" t="s">
        <v>219</v>
      </c>
      <c r="D13" s="10">
        <f>F9+F10+F11+F12</f>
        <v>437616</v>
      </c>
      <c r="E13" s="13">
        <f>'Hypothèses'!$C$22/100</f>
        <v>0.12</v>
      </c>
      <c r="F13" s="10">
        <f>D13*E13</f>
        <v>52513.91999999999825</v>
      </c>
      <c r="G13" s="10">
        <f>I9+I10+I11+I12</f>
        <v>437616</v>
      </c>
      <c r="H13" s="13">
        <f>'Hypothèses'!$C$22/100</f>
        <v>0.12</v>
      </c>
      <c r="I13" s="10">
        <f>G13*H13</f>
        <v>52513.91999999999825</v>
      </c>
      <c r="J13" s="10">
        <f>L9+L10+L11+L12</f>
        <v>437616</v>
      </c>
      <c r="K13" s="13">
        <f>'Hypothèses'!$C$22/100</f>
        <v>0.12</v>
      </c>
      <c r="L13" s="10">
        <f>J13*K13</f>
        <v>52513.91999999999825</v>
      </c>
    </row>
    <row r="14" spans="1:12">
      <c r="A14" t="s">
        <v>125</v>
      </c>
      <c r="B14" t="s">
        <v>21</v>
      </c>
      <c r="C14" t="s">
        <v>213</v>
      </c>
      <c r="D14" s="9">
        <f>'Hypothèses'!$C$14</f>
        <v>41</v>
      </c>
      <c r="E14" s="10">
        <f>'Hypothèses'!$C$24*'Hypothèses'!$C$25/100</f>
        <v>45</v>
      </c>
      <c r="F14" s="10">
        <f>D14*E14</f>
        <v>1845</v>
      </c>
      <c r="G14" s="9">
        <f>'Hypothèses'!$C$14</f>
        <v>41</v>
      </c>
      <c r="H14" s="10">
        <f>'Hypothèses'!$C$24*'Hypothèses'!$C$25/100</f>
        <v>45</v>
      </c>
      <c r="I14" s="10">
        <f>G14*H14</f>
        <v>1845</v>
      </c>
      <c r="J14" s="9">
        <f>'Hypothèses'!$C$14</f>
        <v>41</v>
      </c>
      <c r="K14" s="10">
        <f>'Hypothèses'!$C$24*'Hypothèses'!$C$25/100</f>
        <v>45</v>
      </c>
      <c r="L14" s="10">
        <f>J14*K14</f>
        <v>1845</v>
      </c>
    </row>
    <row r="15" spans="1:12">
      <c r="A15" t="s">
        <v>45</v>
      </c>
      <c r="B15" t="s">
        <v>8</v>
      </c>
      <c r="C15" t="s">
        <v>195</v>
      </c>
      <c r="D15" s="10">
        <f>F9+F10+F11</f>
        <v>430400</v>
      </c>
      <c r="E15" s="13">
        <f>'Hypothèses'!$C$26/100</f>
        <v>0.03</v>
      </c>
      <c r="F15" s="10">
        <f>D15*E15</f>
        <v>12912</v>
      </c>
      <c r="G15" s="10">
        <f>I9+I10+I11</f>
        <v>430400</v>
      </c>
      <c r="H15" s="13">
        <f>'Hypothèses'!$C$26/100</f>
        <v>0.03</v>
      </c>
      <c r="I15" s="10">
        <f>G15*H15</f>
        <v>12912</v>
      </c>
      <c r="J15" s="10">
        <f>L9+L10+L11</f>
        <v>430400</v>
      </c>
      <c r="K15" s="13">
        <f>'Hypothèses'!$C$26/100</f>
        <v>0.03</v>
      </c>
      <c r="L15" s="10">
        <f>J15*K15</f>
        <v>12912</v>
      </c>
    </row>
    <row r="16" spans="1:12">
      <c r="A16" t="s">
        <v>46</v>
      </c>
      <c r="B16" t="s">
        <v>8</v>
      </c>
      <c r="C16" t="s">
        <v>195</v>
      </c>
      <c r="D16" s="10">
        <f>F9+F10+F11+F12</f>
        <v>437616</v>
      </c>
      <c r="E16" s="13">
        <f>'Hypothèses'!$C$27/100</f>
        <v>0.1</v>
      </c>
      <c r="F16" s="10">
        <f>D16*E16</f>
        <v>43761.60000000000582</v>
      </c>
      <c r="G16" s="10">
        <f>I9+I10+I11+I12</f>
        <v>437616</v>
      </c>
      <c r="H16" s="13">
        <f>'Hypothèses'!$C$27/100</f>
        <v>0.1</v>
      </c>
      <c r="I16" s="10">
        <f>G16*H16</f>
        <v>43761.60000000000582</v>
      </c>
      <c r="J16" s="10">
        <f>L9+L10+L11+L12</f>
        <v>437616</v>
      </c>
      <c r="K16" s="13">
        <f>'Hypothèses'!$C$27/100</f>
        <v>0.1</v>
      </c>
      <c r="L16" s="10">
        <f>J16*K16</f>
        <v>43761.60000000000582</v>
      </c>
    </row>
    <row r="17" spans="1:12">
      <c r="A17" t="s">
        <v>196</v>
      </c>
      <c r="B17" t="s">
        <v>8</v>
      </c>
      <c r="C17" t="s">
        <v>197</v>
      </c>
      <c r="D17" s="10">
        <f>F7+F8+0.5*(F9+F10+F11+F12+F13+F15+F16)</f>
        <v>851201.76000000000931</v>
      </c>
      <c r="E17" s="13">
        <f>'Hypothèses'!$C$30/100*'Hypothèses'!$C$32/12</f>
        <v>0.083333333333333</v>
      </c>
      <c r="F17" s="10">
        <f>D17*E17</f>
        <v>70933.47999999999593</v>
      </c>
      <c r="G17" s="10">
        <f>I7+I8+0.5*(I9+I10+I11+I12+I13+I15+I16)</f>
        <v>851201.76000000000931</v>
      </c>
      <c r="H17" s="13">
        <f>'Hypothèses'!$C$30/100*'Hypothèses'!$C$32/12</f>
        <v>0.083333333333333</v>
      </c>
      <c r="I17" s="10">
        <f>G17*H17</f>
        <v>70933.47999999999593</v>
      </c>
      <c r="J17" s="10">
        <f>L7+L8+0.5*(L9+L10+L11+L12+L13+L15+L16)</f>
        <v>851201.76000000000931</v>
      </c>
      <c r="K17" s="13">
        <f>'Hypothèses'!$C$30/100*'Hypothèses'!$C$32/12</f>
        <v>0.083333333333333</v>
      </c>
      <c r="L17" s="10">
        <f>J17*K17</f>
        <v>70933.47999999999593</v>
      </c>
    </row>
    <row r="18" spans="1:12">
      <c r="A18" t="s">
        <v>48</v>
      </c>
      <c r="B18" t="s">
        <v>8</v>
      </c>
      <c r="C18" t="s">
        <v>198</v>
      </c>
      <c r="D18" s="10">
        <f>F6</f>
        <v>519800</v>
      </c>
      <c r="E18" s="13">
        <f>'Hypothèses'!$C$28/100</f>
        <v>0.03</v>
      </c>
      <c r="F18" s="10">
        <f>D18*E18</f>
        <v>15594</v>
      </c>
      <c r="G18" s="10">
        <f>I6</f>
        <v>641700</v>
      </c>
      <c r="H18" s="13">
        <f>'Hypothèses'!$C$28/100</f>
        <v>0.03</v>
      </c>
      <c r="I18" s="10">
        <f>G18*H18</f>
        <v>19251</v>
      </c>
      <c r="J18" s="10">
        <f>L6</f>
        <v>706100</v>
      </c>
      <c r="K18" s="13">
        <f>'Hypothèses'!$C$28/100</f>
        <v>0.03</v>
      </c>
      <c r="L18" s="10">
        <f>J18*K18</f>
        <v>21183</v>
      </c>
    </row>
    <row r="20" spans="1:12">
      <c r="A20" s="15" t="s">
        <v>199</v>
      </c>
      <c r="B20" s="16"/>
      <c r="C20" s="16"/>
      <c r="D20" s="16"/>
      <c r="E20" s="16"/>
      <c r="F20" s="17">
        <f>F7+F8+F9+F10+F11+F12+F13+F14+F15+F16+F17+F18</f>
        <v>1212976</v>
      </c>
      <c r="G20" s="16"/>
      <c r="H20" s="16"/>
      <c r="I20" s="17">
        <f>I7+I8+I9+I10+I11+I12+I13+I14+I15+I16+I17+I18</f>
        <v>1216633</v>
      </c>
      <c r="J20" s="16"/>
      <c r="K20" s="16"/>
      <c r="L20" s="17">
        <f>L7+L8+L9+L10+L11+L12+L13+L14+L15+L16+L17+L18</f>
        <v>1218565</v>
      </c>
    </row>
    <row r="21" spans="1:12">
      <c r="A21" s="1" t="s">
        <v>200</v>
      </c>
      <c r="F21" s="10">
        <f>F6-(F7+F8+F9+F10+F11+F12+F13+F14+F15+F16)</f>
        <v>-606648.52000000001863</v>
      </c>
      <c r="I21" s="10">
        <f>I6-(I7+I8+I9+I10+I11+I12+I13+I14+I15+I16)</f>
        <v>-484748.52000000001863</v>
      </c>
      <c r="L21" s="10">
        <f>L6-(L7+L8+L9+L10+L11+L12+L13+L14+L15+L16)</f>
        <v>-420348.52000000001863</v>
      </c>
    </row>
    <row r="22" spans="1:12">
      <c r="A22" s="1" t="s">
        <v>151</v>
      </c>
      <c r="F22" s="12">
        <f>F6-F20</f>
        <v>-693176</v>
      </c>
      <c r="I22" s="12">
        <f>I6-I20</f>
        <v>-574933</v>
      </c>
      <c r="L22" s="12">
        <f>L6-L20</f>
        <v>-512465</v>
      </c>
    </row>
    <row r="23" spans="1:12">
      <c r="A23" s="1" t="s">
        <v>201</v>
      </c>
      <c r="F23" s="14">
        <f>F22/F6</f>
        <v>-1.33354367064255</v>
      </c>
      <c r="I23" s="14">
        <f>I22/I6</f>
        <v>-0.89595293750974</v>
      </c>
      <c r="L23" s="14">
        <f>L22/L6</f>
        <v>-0.7257683047727</v>
      </c>
    </row>
    <row r="24" spans="1:12">
      <c r="A24" s="1" t="s">
        <v>202</v>
      </c>
      <c r="F24" s="10">
        <f>F7+(F22-'Hypothèses'!$C$33/100*F6)/((1+'Hypothèses'!$C$7/100)*(1+'Hypothèses'!$C$30/100*'Hypothèses'!$C$32/12))</f>
        <v>-124099.14529914536979</v>
      </c>
      <c r="I24" s="10">
        <f>I7+(I22-'Hypothèses'!$C$33/100*I6)/((1+'Hypothèses'!$C$7/100)*(1+'Hypothèses'!$C$30/100*'Hypothèses'!$C$32/12))</f>
        <v>-38664.95726495725103</v>
      </c>
      <c r="L24" s="10">
        <f>L7+(L22-'Hypothèses'!$C$33/100*L6)/((1+'Hypothèses'!$C$7/100)*(1+'Hypothèses'!$C$30/100*'Hypothèses'!$C$32/12))</f>
        <v>6470.08547008538153</v>
      </c>
    </row>
    <row r="25" spans="1:12">
      <c r="A25" s="1" t="s">
        <v>203</v>
      </c>
      <c r="F25" s="13">
        <f>F24/F7-1</f>
        <v>-1.23196101925074</v>
      </c>
      <c r="I25" s="13">
        <f>I24/I7-1</f>
        <v>-1.072270948158799</v>
      </c>
      <c r="L25" s="13">
        <f>L24/L7-1</f>
        <v>-0.98790638229891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Synthèse</vt:lpstr>
      <vt:lpstr>Hypothèses</vt:lpstr>
      <vt:lpstr>Comparatif</vt:lpstr>
      <vt:lpstr>Rénover-revendre</vt:lpstr>
      <vt:lpstr>Extension max</vt:lpstr>
      <vt:lpstr>Surélévation</vt:lpstr>
      <vt:lpstr>Extension + rénovation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2026-10-23T09:27:06+00:00</dcterms:created>
  <dcterms:modified xsi:type="dcterms:W3CDTF">2026-10-23T09:27:06+00:00</dcterms:modified>
  <dc:title>Untitled Spreadsheet</dc:title>
  <dc:description/>
  <dc:subject/>
  <cp:keywords/>
  <cp:category/>
</cp:coreProperties>
</file>