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Bilan" sheetId="3" r:id="rId6"/>
    <sheet name="Trésorerie" sheetId="4" r:id="rId7"/>
    <sheet name="Sensibilité" sheetId="5" r:id="rId8"/>
    <sheet name="Comparatif" sheetId="6" r:id="rId9"/>
    <sheet name="Rénover-revendre" sheetId="7" r:id="rId10"/>
    <sheet name="Extension max" sheetId="8" r:id="rId11"/>
    <sheet name="Extension + rénovati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<sst xmlns="http://schemas.openxmlformats.org/spreadsheetml/2006/main" uniqueCount="319">
  <si>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Synthèse du projet : construction neuve</t>
  </si>
  <si>
    <t>annonce 131406 · Èze. Tous les chiffres viennent des onglets Hypothèses et Bilan (cas médian).</t>
  </si>
  <si>
    <t>Chiffre d'affaires TTC</t>
  </si>
  <si>
    <t>Coût de revient TTC</t>
  </si>
  <si>
    <t>Coût du financement</t>
  </si>
  <si>
    <t>Résultat net</t>
  </si>
  <si>
    <t>Marge nette / chiffre d'affaires HT</t>
  </si>
  <si>
    <t>Marge nette / coût de revient</t>
  </si>
  <si>
    <t>Apport des associés</t>
  </si>
  <si>
    <t>Rendement sur l'apport</t>
  </si>
  <si>
    <t>Point bas de trésorerie</t>
  </si>
  <si>
    <t>HYPOTHÈSES PRINCIPALES</t>
  </si>
  <si>
    <t>Terrain (prix négocié)</t>
  </si>
  <si>
    <t>Surface habitable vendue</t>
  </si>
  <si>
    <t>Prix de vente TTC au m² (médian)</t>
  </si>
  <si>
    <t>Construction et VRD</t>
  </si>
  <si>
    <t>Financement (taux annuel)</t>
  </si>
  <si>
    <t>Mois de la vente</t>
  </si>
  <si>
    <t>Pour changer un chiffre : onglet Hypothèses. Lecture : Bilan, Trésorerie, Sensibilité, Comparatif. Estimation indicative, à confirmer par devis et par un expert-comptable.</t>
  </si>
  <si>
    <t>Hypothèses : annonce 131406 · Èze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</si>
  <si>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</si>
  <si>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</si>
  <si>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</si>
  <si>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</si>
  <si>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</si>
  <si>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</si>
  <si>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</si>
  <si>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</si>
  <si>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</si>
  <si>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</si>
  <si>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</si>
  <si>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</si>
  <si>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haut de gamme Èze)</t>
  </si>
  <si>
    <t>Prix de revente prudent</t>
  </si>
  <si>
    <t>€/m²</t>
  </si>
  <si>
    <t>Q1 des ventes DVF de maisons à Èze, 2021-2025</t>
  </si>
  <si>
    <t>Prix de revente médian</t>
  </si>
  <si>
    <t>Médiane des ventes DVF de maisons à Èze, 2021-2025</t>
  </si>
  <si>
    <t>Prix de revente optimiste (vue mer)</t>
  </si>
  <si>
    <t>Médiane + prime vue mer panoramique (hypothèse)</t>
  </si>
  <si>
    <t>Surfaces (m²)</t>
  </si>
  <si>
    <t>Surface habitable existante</t>
  </si>
  <si>
    <t>m²</t>
  </si>
  <si>
    <t>Extension prudente (plain-pied)</t>
  </si>
  <si>
    <t>Calcul PLU : min(emprise restante 636 m², 80 m²)</t>
  </si>
  <si>
    <t>Extension maximale</t>
  </si>
  <si>
    <t>Calcul PLU : emprise restante 636 m² sur 2 niveaux en gradins (coef. 0,8), plafonnée au plancher résiduel</t>
  </si>
  <si>
    <t>Travaux (€ HT)</t>
  </si>
  <si>
    <t>Rénovation lourde haut de gamme</t>
  </si>
  <si>
    <t>Estimation à confirmer par devis</t>
  </si>
  <si>
    <t>Extension en pente, site inscrit</t>
  </si>
  <si>
    <t>Fourchette 3 500-4 500 €/m² (ABF, soutènements, accès difficile)</t>
  </si>
  <si>
    <t>Terrassement et soutènement (extension)</t>
  </si>
  <si>
    <t>€/m² créé</t>
  </si>
  <si>
    <t>Pente 45,8 %,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</si>
  <si>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</si>
  <si>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</si>
  <si>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</si>
  <si>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</si>
  <si>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</si>
  <si>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</si>
  <si>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</si>
  <si>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</si>
  <si>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</si>
  <si>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</si>
  <si>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</si>
  <si>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</si>
  <si>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</si>
  <si>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</si>
  <si>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</si>
  <si>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</si>
  <si>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</si>
  <si>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</si>
  <si>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</si>
  <si>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</si>
  <si>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</si>
  <si>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</si>
  <si>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</si>
  <si>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</si>
  <si>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</si>
  <si>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</si>
  <si>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</si>
  <si>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Construction neuve : projet</t>
  </si>
  <si>
    <t>Surface de plancher</t>
  </si>
  <si>
    <t>Maximum PLU calculé : emprise 636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</si>
  <si>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</si>
  <si>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</si>
  <si>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</si>
  <si>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Bas de la fourchette du secteur (neuf haut de gamme à Èze)</t>
  </si>
  <si>
    <t>Prix de vente TTC du neuf : médian</t>
  </si>
  <si>
    <t>Prix visé par l'étude locale, neuf haut de gamme à Èze</t>
  </si>
  <si>
    <t>Prix de vente TTC du neuf : optimiste</t>
  </si>
  <si>
    <t>Haut de la fourchette du secteur (19 000 à 20 000 €/m², vue mer)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</si>
  <si>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</si>
  <si>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</si>
  <si>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</si>
  <si>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</si>
  <si>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</si>
  <si>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</si>
  <si>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</si>
  <si>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</si>
  <si>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</si>
  <si>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(1 970 000 €)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</si>
  <si>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</si>
  <si>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</si>
  <si>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</si>
  <si>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</si>
  <si>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</si>
  <si>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Calibré : 4462 €/m² TTC (base 2000 € HT/m² du département 06, palier de gamme × 1,30, pente 46 % × 1,30, VRD et TVA)</t>
  </si>
  <si>
    <t>Démolition et désamiantage</t>
  </si>
  <si>
    <t>Surface existante × 100 à 120 €/m² (+ 30 €/m² de désamiantage si bâti ancien)</t>
  </si>
  <si>
    <t>Piscine</t>
  </si>
  <si>
    <t>Villa haut de gamme (neuf à 15 268 €/m²) : piscine incluse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</si>
  <si>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</si>
  <si>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</si>
  <si>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</si>
  <si>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</si>
  <si>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</si>
  <si>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</si>
  <si>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</si>
  <si>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</si>
  <si>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</si>
  <si>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</si>
  <si>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</si>
  <si>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</si>
  <si>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</si>
  <si>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</si>
  <si>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</si>
  <si>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</si>
  <si>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</si>
  <si>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</si>
  <si>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</si>
  <si>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</si>
  <si>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</si>
  <si>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</si>
  <si>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</si>
  <si>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</si>
  <si>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</si>
  <si>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</si>
  <si>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</si>
  <si>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</si>
  <si>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</si>
  <si>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</si>
  <si>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</si>
  <si>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</si>
  <si>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1 = achat du terrain, après permis purgé (financement en deux tranches)</t>
  </si>
  <si>
    <t>Taux d'impôt sur les sociétés</t>
  </si>
  <si>
    <t>Taux réduit de 15 % jusqu'à 42 500 € ignoré (prudent)</t>
  </si>
  <si>
    <t>Bilan de rentabilité : construction neuve (annonce 131406 · Èze)</t>
  </si>
  <si>
    <t>Coûts TTC et HT, financement, vente et résultat. Calculé à partir de l'onglet Hypothèses, avec le prix de vente médian (prudent et optimiste : voir Comparatif et Sensibilité).</t>
  </si>
  <si>
    <t>TTC</t>
  </si>
  <si>
    <t>HT</t>
  </si>
  <si>
    <t>Commentaire</t>
  </si>
  <si>
    <t>ACQUISITION</t>
  </si>
  <si>
    <t>Terrain</t>
  </si>
  <si>
    <t>Sans TVA</t>
  </si>
  <si>
    <t>Frais d'agence</t>
  </si>
  <si>
    <t>TRAVAUX</t>
  </si>
  <si>
    <t>Raccordements</t>
  </si>
  <si>
    <t>Aléas</t>
  </si>
  <si>
    <t>% de la construction et de la démolition</t>
  </si>
  <si>
    <t>HONORAIRES ET FRAIS</t>
  </si>
  <si>
    <t>Études de sol</t>
  </si>
  <si>
    <t>Autres assurances</t>
  </si>
  <si>
    <t>Coût de revient hors financement</t>
  </si>
  <si>
    <t>FINANCEMENT</t>
  </si>
  <si>
    <t>Besoin à financer (coût TTC)</t>
  </si>
  <si>
    <t>Prêt</t>
  </si>
  <si>
    <t>Intérêts</t>
  </si>
  <si>
    <t>Frais de collecte</t>
  </si>
  <si>
    <t>VENTE</t>
  </si>
  <si>
    <t>Surface habitable vendue × prix médian</t>
  </si>
  <si>
    <t>Chiffre d'affaires HT</t>
  </si>
  <si>
    <t>TVA sur le prix total, ou sur la marge selon le régime choisi</t>
  </si>
  <si>
    <t>Prix de vente HT au m²</t>
  </si>
  <si>
    <t>Surface habitable vendue (m²)</t>
  </si>
  <si>
    <t>Surface de plancher × ratio habitable</t>
  </si>
  <si>
    <t>RÉSULTAT</t>
  </si>
  <si>
    <t>Marge HT avant financement</t>
  </si>
  <si>
    <t>Résultat avant impôt</t>
  </si>
  <si>
    <t>Impôt sur les sociétés</t>
  </si>
  <si>
    <t>Marge nette sur le chiffre d'affaires HT</t>
  </si>
  <si>
    <t>Indicateur regardé par les financeurs</t>
  </si>
  <si>
    <t>Marge nette sur le coût de revient HT</t>
  </si>
  <si>
    <t>Plan de trésorerie mensuel</t>
  </si>
  <si>
    <t>Mois 1 = achat du terrain. Début et fin (cases jaunes) : la dépense est répartie à parts égales sur la période. Montants TTC.</t>
  </si>
  <si>
    <t>Début</t>
  </si>
  <si>
    <t>Fin</t>
  </si>
  <si>
    <t>Total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</si>
  <si>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</si>
  <si>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</si>
  <si>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</si>
  <si>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</si>
  <si>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</si>
  <si>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</si>
  <si>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</si>
  <si>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</si>
  <si>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</si>
  <si>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</si>
  <si>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</si>
  <si>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</si>
  <si>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</si>
  <si>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</si>
  <si>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</si>
  <si>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</si>
  <si>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</si>
  <si>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</si>
  <si>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</si>
  <si>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</si>
  <si>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</si>
  <si>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</si>
  <si>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</si>
  <si>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</si>
  <si>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</si>
  <si>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</si>
  <si>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</si>
  <si>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</si>
  <si>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</si>
  <si>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</si>
  <si>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</si>
  <si>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</si>
  <si>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</si>
  <si>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</si>
  <si>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</si>
  <si>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</si>
  <si>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ENCAISSEMENTS</t>
  </si>
  <si>
    <t>Prêt (financement participatif)</t>
  </si>
  <si>
    <t>Vente</t>
  </si>
  <si>
    <t>Remboursement de TVA sur les dépenses (mois suivant)</t>
  </si>
  <si>
    <t>DÉCAISSEMENTS</t>
  </si>
  <si>
    <t>Frais de collecte et de garantie</t>
  </si>
  <si>
    <t>Remboursement du prêt et intérêts</t>
  </si>
  <si>
    <t>TVA collectée sur la vente (mois suivant)</t>
  </si>
  <si>
    <t>Impôt sur les sociétés (2 mois après la vente)</t>
  </si>
  <si>
    <t>Solde du mois</t>
  </si>
  <si>
    <t>Trésorerie cumulée</t>
  </si>
  <si>
    <t>En rouge : mois où la trésorerie cumulée est négative, il faut un apport ou un déblocage de fonds. Fin de projet : trésorerie cumulée = apport + résultat net.</t>
  </si>
  <si>
    <t>Sensibilité du résultat net</t>
  </si>
  <si>
    <t>Résultat net (après impôt) selon le prix de vente TTC au m² et le coût de construction (cas médian). Le financement est recalculé avec le coût.</t>
  </si>
  <si>
    <t>Données reprises du bilan</t>
  </si>
  <si>
    <t>Coût de revient HT hors financement</t>
  </si>
  <si>
    <t>Coût du financement par € de coût TTC en plus</t>
  </si>
  <si>
    <t>Construction et VRD avec aléas (TTC)</t>
  </si>
  <si>
    <t>Coût de construction · prix TTC/m²</t>
  </si>
  <si>
    <t>Prix de vente minimum (TTC/m²) pour ne pas perdre d'argent</t>
  </si>
  <si>
    <t>Vert : 1 M€ net ou plus. Rouge : moins de 500 k€.</t>
  </si>
  <si>
    <t>Surface vendue (m²) · prix TTC/m², coût du bilan</t>
  </si>
  <si>
    <t>Comparatif des scénarios : annonce 131406 · Èze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</si>
  <si>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</si>
  <si>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</si>
  <si>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</si>
  <si>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</si>
  <si>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</si>
  <si>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</si>
  <si>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</si>
  <si>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</si>
  <si>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</si>
  <si>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</si>
  <si>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</si>
  <si>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</si>
  <si>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</si>
  <si>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636 m² (636 m² autorisés, moins piscine 0 m² et bâti existant 257 m² (BD TOPO) + 10 % de terrasses, soit 282 m²). 865 m² supposent 2 niveaux en gradins sur une pente de 45,8 % : coûteux, et l'ABF (site inscrit) peut réduire le projet.</t>
  </si>
  <si>
    <t>Surélévation</t>
  </si>
  <si>
    <t>Impossible</t>
  </si>
  <si>
    <t>Le bâti a déjà 1 niveaux et mesure 6,3 m pour 7 m à l'égout autorisés (8,50 m en hauteur frontale à Èze) : aucun niveau supplémentaire possible.</t>
  </si>
  <si>
    <t>non chiffré</t>
  </si>
  <si>
    <t>Extension + rénovation</t>
  </si>
  <si>
    <t>Extension prudente de 80 m² de plain-pied et rénovation lourde des 0 m² existants. Reste soumis à l'avis de l'ABF (site inscrit), mais sans gradins.</t>
  </si>
  <si>
    <t>Division parcellaire</t>
  </si>
  <si>
    <t>Unité foncière de 2 121 m², sous le seuil de 800 m² retenu pour détacher un lot : avec emprise 30 %, pleine terre 45 %, reculs de 3 m et pente de 45,8 %, le lot détaché serait inférieur à 300 m² et la maison existante ne respecterait plus les reculs.</t>
  </si>
  <si>
    <t>Démolition-reconstruction (neuf)</t>
  </si>
  <si>
    <t>Villa neuve de 865 m² de plancher, soit 822 m² habitables vendus (maximum PLU : emprise 636 m², 2 niveaux, stationnement), vendue au prix du neuf haut de gamme. Bilan complet : TVA, financement participatif et impôt sur les sociétés. En site inscrit, la démolition exige un permis de démolir et l'avis de l'ABF ; sur une pente de 45,8 %, les terrassements pèsent lourd.</t>
  </si>
  <si>
    <t>Lots (plusieurs logements)</t>
  </si>
  <si>
    <t>Aucun lot à bâtir (division impossible) et zone UFb3 pavillonnaire : un immeuble de plusieurs logements n'est pas dans l'esprit de la zone, avec 1,5 place de stationnement par logement à fournir sur un terrain en pente.</t>
  </si>
  <si>
    <t>Meilleur scénario (marge nette médiane)</t>
  </si>
  <si>
    <t>Pour le classement (hors improbable)</t>
  </si>
  <si>
    <t>Estimation indicative fondée sur le règlement du PLU (zone UFb3),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</si>
  <si>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</si>
  <si>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</si>
  <si>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</si>
  <si>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</si>
  <si>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</si>
  <si>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</si>
  <si>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</si>
  <si>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</si>
  <si>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</si>
  <si>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</si>
  <si>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</si>
  <si>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</si>
  <si>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</si>
  <si>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</si>
  <si>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</si>
  <si>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</si>
  <si>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</si>
  <si>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</si>
  <si>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</si>
  <si>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</si>
  <si>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</si>
  <si>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</si>
  <si>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</si>
  <si>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</si>
  <si>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</si>
  <si>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</si>
  <si>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636 m² (636 m² autorisés, moins piscine 0 m² et bâti existant 257 m² (BD TOPO) + 10 % de terrasses, soit 282 m²). 865 m² supposent 2 niveaux en gradins sur une pente de 45,8 %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</si>
  <si>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</si>
  <si>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</si>
  <si>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</si>
  <si>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</si>
  <si>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</si>
  <si>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45,8 %</t>
  </si>
  <si>
    <t>Honoraires architecte + bureaux d'études</t>
  </si>
  <si>
    <t>Architecte obligatoire (&gt; 150 m² de plancher)</t>
  </si>
  <si>
    <t>Surface créée × valeur forfaitaire × taux</t>
  </si>
  <si>
    <t>Statut : possible. Extension prudente de 80 m² de plain-pied et rénovation lourde des 0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</si>
  <si>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</si>
  <si>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</si>
  <si>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</si>
  <si>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</si>
  <si>
    <t>Architecte obligatoire</t>
  </si>
</sst>
</file>

<file path=xl/styles.xml><?xml version="1.0" encoding="utf-8"?>
<styleSheet xmlns="http://schemas.openxmlformats.org/spreadsheetml/2006/main">
  <numFmts count="9">
    <numFmt numFmtId="164" formatCode="#,##0 &quot;€&quot;"/>
    <numFmt numFmtId="165" formatCode="#,##0.##"/>
    <numFmt numFmtId="166" formatCode="#,##0 &quot;€/m²&quot;"/>
    <numFmt numFmtId="167" formatCode="0.0%"/>
    <numFmt numFmtId="168" formatCode="#,##0.0 &quot;m²&quot;"/>
    <numFmt numFmtId="169" formatCode="#,##0;[Red]-#,##0"/>
    <numFmt numFmtId="170" formatCode="0.0000"/>
    <numFmt numFmtId="171" formatCode="+0%;-0%;&quot;coût du bilan&quot;"/>
    <numFmt numFmtId="172" formatCode="0 &quot;m²&quot;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475569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0" applyFont="1" applyNumberFormat="0" applyFill="0" applyBorder="0" applyAlignment="0"/>
    <xf xfId="0" fontId="1" numFmtId="164" fillId="3" borderId="0" applyFont="1" applyNumberFormat="1" applyFill="1" applyBorder="0" applyAlignment="0"/>
    <xf xfId="0" fontId="1" numFmtId="164" fillId="0" borderId="2" applyFont="1" applyNumberFormat="1" applyFill="0" applyBorder="1" applyAlignment="0"/>
    <xf xfId="0" fontId="5" numFmtId="164" fillId="0" borderId="0" applyFont="1" applyNumberFormat="1" applyFill="0" applyBorder="0" applyAlignment="0"/>
    <xf xfId="0" fontId="0" numFmtId="168" fillId="0" borderId="0" applyFont="0" applyNumberFormat="1" applyFill="0" applyBorder="0" applyAlignment="0"/>
    <xf xfId="0" fontId="0" numFmtId="169" fillId="0" borderId="0" applyFont="0" applyNumberFormat="1" applyFill="0" applyBorder="0" applyAlignment="0"/>
    <xf xfId="0" fontId="1" numFmtId="169" fillId="3" borderId="0" applyFont="1" applyNumberFormat="1" applyFill="1" applyBorder="0" applyAlignment="0"/>
    <xf xfId="0" fontId="1" numFmtId="169" fillId="0" borderId="0" applyFont="1" applyNumberFormat="1" applyFill="0" applyBorder="0" applyAlignment="0"/>
    <xf xfId="0" fontId="4" numFmtId="1" fillId="4" borderId="1" applyFont="1" applyNumberFormat="1" applyFill="1" applyBorder="1" applyAlignment="0"/>
    <xf xfId="0" fontId="0" numFmtId="1" fillId="0" borderId="0" applyFont="0" applyNumberFormat="1" applyFill="0" applyBorder="0" applyAlignment="0"/>
    <xf xfId="0" fontId="1" numFmtId="1" fillId="3" borderId="0" applyFont="1" applyNumberFormat="1" applyFill="1" applyBorder="0" applyAlignment="0"/>
    <xf xfId="0" fontId="0" numFmtId="170" fillId="0" borderId="0" applyFont="0" applyNumberFormat="1" applyFill="0" applyBorder="0" applyAlignment="0"/>
    <xf xfId="0" fontId="3" numFmtId="166" fillId="2" borderId="0" applyFont="1" applyNumberFormat="1" applyFill="1" applyBorder="0" applyAlignment="1">
      <alignment vertical="center" textRotation="0" wrapText="true" shrinkToFit="false"/>
    </xf>
    <xf xfId="0" fontId="4" numFmtId="171" fillId="4" borderId="1" applyFont="1" applyNumberFormat="1" applyFill="1" applyBorder="1" applyAlignment="0"/>
    <xf xfId="0" fontId="1" numFmtId="166" fillId="0" borderId="0" applyFont="1" applyNumberFormat="1" applyFill="0" applyBorder="0" applyAlignment="0"/>
    <xf xfId="0" fontId="0" numFmtId="172" fillId="0" borderId="0" applyFont="0" applyNumberFormat="1" applyFill="0" applyBorder="0" applyAlignment="0"/>
    <xf xfId="0" fontId="6" numFmtId="0" fillId="0" borderId="0" applyFont="1" applyNumberFormat="0" applyFill="0" applyBorder="0" applyAlignment="0"/>
    <xf xfId="0" fontId="7" numFmtId="164" fillId="0" borderId="0" applyFont="1" applyNumberFormat="1" applyFill="0" applyBorder="0" applyAlignment="0"/>
    <xf xfId="0" fontId="7" numFmtId="167" fillId="0" borderId="0" applyFont="1" applyNumberFormat="1" applyFill="0" applyBorder="0" applyAlignment="0"/>
  </cellXfs>
  <cellStyles count="1">
    <cellStyle name="Normal" xfId="0" builtinId="0"/>
  </cellStyles>
  <dxfs count="3">
    <dxf>
      <font>
        <color rgb="FFB91C1C"/>
      </font>
      <fill>
        <patternFill patternType="solid">
          <bgColor rgb="FFFEE2E2"/>
        </patternFill>
      </fill>
      <border/>
    </dxf>
    <dxf>
      <fill>
        <patternFill patternType="solid">
          <bgColor rgb="FFDCFCE7"/>
        </patternFill>
      </fill>
      <border/>
    </dxf>
    <dxf>
      <fill>
        <patternFill patternType="solid">
          <bgColor rgb="FFFEE2E2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18" customWidth="true" style="0"/>
    <col min="4" max="4" width="4" customWidth="true" style="0"/>
    <col min="5" max="5" width="32" customWidth="true" style="0"/>
    <col min="6" max="6" width="18" customWidth="true" style="0"/>
    <col min="7" max="7" width="4" customWidth="true" style="0"/>
    <col min="8" max="8" width="32" customWidth="true" style="0"/>
    <col min="9" max="9" width="18" customWidth="true" style="0"/>
  </cols>
  <sheetData>
    <row r="1" spans="1:9">
      <c r="A1" s="2" t="s">
        <v>0</v>
      </c>
    </row>
    <row r="2" spans="1:9">
      <c r="A2" t="s">
        <v>1</v>
      </c>
    </row>
    <row r="4" spans="1:9">
      <c r="B4" s="34" t="s">
        <v>2</v>
      </c>
      <c r="E4" s="34" t="s">
        <v>3</v>
      </c>
      <c r="H4" s="34" t="s">
        <v>4</v>
      </c>
    </row>
    <row r="5" spans="1:9">
      <c r="B5" s="35">
        <f>Bilan!B37</f>
        <v>12546479</v>
      </c>
      <c r="E5" s="35">
        <f>Bilan!B25</f>
        <v>5664180</v>
      </c>
      <c r="H5" s="35">
        <f>Bilan!B34</f>
        <v>1003399.41000000014901</v>
      </c>
    </row>
    <row r="8" spans="1:9">
      <c r="B8" s="34" t="s">
        <v>5</v>
      </c>
      <c r="E8" s="34" t="s">
        <v>6</v>
      </c>
      <c r="H8" s="34" t="s">
        <v>7</v>
      </c>
    </row>
    <row r="9" spans="1:9">
      <c r="B9" s="35">
        <f>Bilan!B45</f>
        <v>3301887.3175000003539</v>
      </c>
      <c r="E9" s="36">
        <f>Bilan!B46</f>
        <v>0.31580691132548</v>
      </c>
      <c r="H9" s="36">
        <f>Bilan!B47</f>
        <v>0.65390597404355</v>
      </c>
    </row>
    <row r="12" spans="1:9">
      <c r="B12" s="34" t="s">
        <v>8</v>
      </c>
      <c r="E12" s="34" t="s">
        <v>9</v>
      </c>
      <c r="H12" s="34" t="s">
        <v>10</v>
      </c>
    </row>
    <row r="13" spans="1:9">
      <c r="B13" s="35">
        <f>Bilan!B29</f>
        <v>849627</v>
      </c>
      <c r="E13" s="36">
        <f>Bilan!B48</f>
        <v>3.8862787052436</v>
      </c>
      <c r="H13" s="35">
        <f>MIN('Trésorerie'!E35:AN35)</f>
        <v>325946.87333333212882</v>
      </c>
    </row>
    <row r="17" spans="1:9">
      <c r="A17" s="1" t="s">
        <v>11</v>
      </c>
    </row>
    <row r="18" spans="1:9">
      <c r="B18" t="s">
        <v>12</v>
      </c>
      <c r="C18" s="10">
        <f>'Hypothèses'!$C$44</f>
        <v>1913000</v>
      </c>
    </row>
    <row r="19" spans="1:9">
      <c r="B19" t="s">
        <v>13</v>
      </c>
      <c r="C19" s="22">
        <f>Bilan!B40</f>
        <v>821.75</v>
      </c>
    </row>
    <row r="20" spans="1:9">
      <c r="B20" t="s">
        <v>14</v>
      </c>
      <c r="C20" s="8">
        <f>'Hypothèses'!$C$38</f>
        <v>15268</v>
      </c>
    </row>
    <row r="21" spans="1:9">
      <c r="B21" t="s">
        <v>15</v>
      </c>
      <c r="C21" s="10">
        <f>'Hypothèses'!$C$48</f>
        <v>2374000</v>
      </c>
    </row>
    <row r="22" spans="1:9">
      <c r="B22" t="s">
        <v>16</v>
      </c>
      <c r="C22" s="13">
        <f>'Hypothèses'!$C$64/100</f>
        <v>0.09</v>
      </c>
    </row>
    <row r="23" spans="1:9">
      <c r="B23" t="s">
        <v>17</v>
      </c>
      <c r="C23" s="27">
        <f>'Hypothèses'!$C$70</f>
        <v>20</v>
      </c>
    </row>
    <row r="25" spans="1:9">
      <c r="A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1"/>
  <sheetViews>
    <sheetView tabSelected="0" workbookViewId="0" showGridLines="true" showRowColHeaders="1">
      <pane ySplit="4" activePane="bottomLeft" state="frozen" topLeftCell="A5"/>
      <selection pane="bottomLeft" activeCell="C71" sqref="C71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19</v>
      </c>
    </row>
    <row r="2" spans="1:4">
      <c r="A2" t="s">
        <v>20</v>
      </c>
    </row>
    <row r="4" spans="1:4">
      <c r="A4" s="3" t="s">
        <v>21</v>
      </c>
      <c r="B4" s="3" t="s">
        <v>22</v>
      </c>
      <c r="C4" s="3" t="s">
        <v>23</v>
      </c>
      <c r="D4" s="3" t="s">
        <v>24</v>
      </c>
    </row>
    <row r="5" spans="1:4">
      <c r="A5" s="4" t="s">
        <v>25</v>
      </c>
      <c r="B5" s="4"/>
      <c r="C5" s="4"/>
      <c r="D5" s="4"/>
    </row>
    <row r="6" spans="1:4">
      <c r="A6" t="s">
        <v>26</v>
      </c>
      <c r="B6" t="s">
        <v>27</v>
      </c>
      <c r="C6" s="5">
        <v>1970000.0</v>
      </c>
      <c r="D6" t="s">
        <v>28</v>
      </c>
    </row>
    <row r="7" spans="1:4">
      <c r="A7" t="s">
        <v>29</v>
      </c>
      <c r="B7" t="s">
        <v>30</v>
      </c>
      <c r="C7" s="6">
        <v>8</v>
      </c>
      <c r="D7" t="s">
        <v>31</v>
      </c>
    </row>
    <row r="8" spans="1:4">
      <c r="A8" s="4" t="s">
        <v>32</v>
      </c>
      <c r="B8" s="4"/>
      <c r="C8" s="4"/>
      <c r="D8" s="4"/>
    </row>
    <row r="9" spans="1:4">
      <c r="A9" t="s">
        <v>33</v>
      </c>
      <c r="B9" t="s">
        <v>34</v>
      </c>
      <c r="C9" s="6">
        <v>8340</v>
      </c>
      <c r="D9" t="s">
        <v>35</v>
      </c>
    </row>
    <row r="10" spans="1:4">
      <c r="A10" t="s">
        <v>36</v>
      </c>
      <c r="B10" t="s">
        <v>34</v>
      </c>
      <c r="C10" s="6">
        <v>11650</v>
      </c>
      <c r="D10" t="s">
        <v>37</v>
      </c>
    </row>
    <row r="11" spans="1:4">
      <c r="A11" t="s">
        <v>38</v>
      </c>
      <c r="B11" t="s">
        <v>34</v>
      </c>
      <c r="C11" s="6">
        <v>13500</v>
      </c>
      <c r="D11" t="s">
        <v>39</v>
      </c>
    </row>
    <row r="12" spans="1:4">
      <c r="A12" s="4" t="s">
        <v>40</v>
      </c>
      <c r="B12" s="4"/>
      <c r="C12" s="4"/>
      <c r="D12" s="4"/>
    </row>
    <row r="13" spans="1:4">
      <c r="A13" t="s">
        <v>41</v>
      </c>
      <c r="B13" t="s">
        <v>42</v>
      </c>
      <c r="C13" s="6">
        <v>0</v>
      </c>
      <c r="D13" t="s">
        <v>28</v>
      </c>
    </row>
    <row r="14" spans="1:4">
      <c r="A14" t="s">
        <v>43</v>
      </c>
      <c r="B14" t="s">
        <v>42</v>
      </c>
      <c r="C14" s="6">
        <v>80</v>
      </c>
      <c r="D14" t="s">
        <v>44</v>
      </c>
    </row>
    <row r="15" spans="1:4">
      <c r="A15" t="s">
        <v>45</v>
      </c>
      <c r="B15" t="s">
        <v>42</v>
      </c>
      <c r="C15" s="6">
        <v>865</v>
      </c>
      <c r="D15" t="s">
        <v>46</v>
      </c>
    </row>
    <row r="16" spans="1:4">
      <c r="A16" s="4" t="s">
        <v>47</v>
      </c>
      <c r="B16" s="4"/>
      <c r="C16" s="4"/>
      <c r="D16" s="4"/>
    </row>
    <row r="17" spans="1:4">
      <c r="A17" t="s">
        <v>48</v>
      </c>
      <c r="B17" t="s">
        <v>34</v>
      </c>
      <c r="C17" s="6">
        <v>1500</v>
      </c>
      <c r="D17" t="s">
        <v>49</v>
      </c>
    </row>
    <row r="18" spans="1:4">
      <c r="A18" t="s">
        <v>50</v>
      </c>
      <c r="B18" t="s">
        <v>34</v>
      </c>
      <c r="C18" s="6">
        <v>4000</v>
      </c>
      <c r="D18" t="s">
        <v>51</v>
      </c>
    </row>
    <row r="19" spans="1:4">
      <c r="A19" t="s">
        <v>52</v>
      </c>
      <c r="B19" t="s">
        <v>53</v>
      </c>
      <c r="C19" s="6">
        <v>300</v>
      </c>
      <c r="D19" t="s">
        <v>54</v>
      </c>
    </row>
    <row r="20" spans="1:4">
      <c r="A20" s="4" t="s">
        <v>55</v>
      </c>
      <c r="B20" s="4"/>
      <c r="C20" s="4"/>
      <c r="D20" s="4"/>
    </row>
    <row r="21" spans="1:4">
      <c r="A21" t="s">
        <v>56</v>
      </c>
      <c r="B21" t="s">
        <v>57</v>
      </c>
      <c r="C21" s="6">
        <v>8</v>
      </c>
      <c r="D21" t="s">
        <v>58</v>
      </c>
    </row>
    <row r="22" spans="1:4">
      <c r="A22" t="s">
        <v>59</v>
      </c>
      <c r="B22" t="s">
        <v>57</v>
      </c>
      <c r="C22" s="6">
        <v>12</v>
      </c>
      <c r="D22" t="s">
        <v>60</v>
      </c>
    </row>
    <row r="23" spans="1:4">
      <c r="A23" t="s">
        <v>61</v>
      </c>
      <c r="B23" t="s">
        <v>57</v>
      </c>
      <c r="C23" s="6">
        <v>6</v>
      </c>
      <c r="D23" t="s">
        <v>58</v>
      </c>
    </row>
    <row r="24" spans="1:4">
      <c r="A24" t="s">
        <v>62</v>
      </c>
      <c r="B24" t="s">
        <v>34</v>
      </c>
      <c r="C24" s="6">
        <v>1000</v>
      </c>
      <c r="D24" t="s">
        <v>63</v>
      </c>
    </row>
    <row r="25" spans="1:4">
      <c r="A25" t="s">
        <v>64</v>
      </c>
      <c r="B25" t="s">
        <v>30</v>
      </c>
      <c r="C25" s="6">
        <v>7.5</v>
      </c>
      <c r="D25" t="s">
        <v>65</v>
      </c>
    </row>
    <row r="26" spans="1:4">
      <c r="A26" t="s">
        <v>66</v>
      </c>
      <c r="B26" t="s">
        <v>57</v>
      </c>
      <c r="C26" s="6">
        <v>3</v>
      </c>
      <c r="D26" t="s">
        <v>58</v>
      </c>
    </row>
    <row r="27" spans="1:4">
      <c r="A27" t="s">
        <v>67</v>
      </c>
      <c r="B27" t="s">
        <v>57</v>
      </c>
      <c r="C27" s="6">
        <v>10</v>
      </c>
      <c r="D27" t="s">
        <v>68</v>
      </c>
    </row>
    <row r="28" spans="1:4">
      <c r="A28" t="s">
        <v>69</v>
      </c>
      <c r="B28" t="s">
        <v>70</v>
      </c>
      <c r="C28" s="6">
        <v>3</v>
      </c>
      <c r="D28" t="s">
        <v>71</v>
      </c>
    </row>
    <row r="29" spans="1:4">
      <c r="A29" s="4" t="s">
        <v>72</v>
      </c>
      <c r="B29" s="4"/>
      <c r="C29" s="4"/>
      <c r="D29" s="4"/>
    </row>
    <row r="30" spans="1:4">
      <c r="A30" t="s">
        <v>73</v>
      </c>
      <c r="B30" t="s">
        <v>74</v>
      </c>
      <c r="C30" s="6">
        <v>5</v>
      </c>
      <c r="D30" t="s">
        <v>75</v>
      </c>
    </row>
    <row r="31" spans="1:4">
      <c r="A31" t="s">
        <v>76</v>
      </c>
      <c r="B31" t="s">
        <v>77</v>
      </c>
      <c r="C31" s="6">
        <v>12</v>
      </c>
      <c r="D31" t="s">
        <v>58</v>
      </c>
    </row>
    <row r="32" spans="1:4">
      <c r="A32" t="s">
        <v>78</v>
      </c>
      <c r="B32" t="s">
        <v>77</v>
      </c>
      <c r="C32" s="6">
        <v>20</v>
      </c>
      <c r="D32" t="s">
        <v>79</v>
      </c>
    </row>
    <row r="33" spans="1:4">
      <c r="A33" t="s">
        <v>80</v>
      </c>
      <c r="B33" t="s">
        <v>70</v>
      </c>
      <c r="C33" s="6">
        <v>15</v>
      </c>
      <c r="D33" t="s">
        <v>81</v>
      </c>
    </row>
    <row r="34" spans="1:4">
      <c r="A34" s="4" t="s">
        <v>82</v>
      </c>
      <c r="B34" s="4"/>
      <c r="C34" s="4"/>
      <c r="D34" s="4"/>
    </row>
    <row r="35" spans="1:4">
      <c r="A35" t="s">
        <v>83</v>
      </c>
      <c r="B35" t="s">
        <v>42</v>
      </c>
      <c r="C35" s="6">
        <v>865</v>
      </c>
      <c r="D35" t="s">
        <v>84</v>
      </c>
    </row>
    <row r="36" spans="1:4">
      <c r="A36" t="s">
        <v>85</v>
      </c>
      <c r="B36" t="s">
        <v>30</v>
      </c>
      <c r="C36" s="6">
        <v>95</v>
      </c>
      <c r="D36" t="s">
        <v>86</v>
      </c>
    </row>
    <row r="37" spans="1:4">
      <c r="A37" t="s">
        <v>87</v>
      </c>
      <c r="B37" t="s">
        <v>34</v>
      </c>
      <c r="C37" s="6">
        <v>13000</v>
      </c>
      <c r="D37" t="s">
        <v>88</v>
      </c>
    </row>
    <row r="38" spans="1:4">
      <c r="A38" t="s">
        <v>89</v>
      </c>
      <c r="B38" t="s">
        <v>34</v>
      </c>
      <c r="C38" s="6">
        <v>15268</v>
      </c>
      <c r="D38" t="s">
        <v>90</v>
      </c>
    </row>
    <row r="39" spans="1:4">
      <c r="A39" t="s">
        <v>91</v>
      </c>
      <c r="B39" t="s">
        <v>34</v>
      </c>
      <c r="C39" s="6">
        <v>19000</v>
      </c>
      <c r="D39" t="s">
        <v>92</v>
      </c>
    </row>
    <row r="40" spans="1:4">
      <c r="A40" t="s">
        <v>93</v>
      </c>
      <c r="B40" t="s">
        <v>30</v>
      </c>
      <c r="C40" s="6">
        <v>20</v>
      </c>
      <c r="D40" t="s">
        <v>94</v>
      </c>
    </row>
    <row r="41" spans="1:4">
      <c r="A41" t="s">
        <v>95</v>
      </c>
      <c r="B41" t="s">
        <v>30</v>
      </c>
      <c r="C41" s="6">
        <v>20</v>
      </c>
      <c r="D41" t="s">
        <v>96</v>
      </c>
    </row>
    <row r="42" spans="1:4">
      <c r="A42" t="s">
        <v>97</v>
      </c>
      <c r="B42" t="s">
        <v>98</v>
      </c>
      <c r="C42" s="6">
        <v>0</v>
      </c>
      <c r="D42" t="s">
        <v>99</v>
      </c>
    </row>
    <row r="43" spans="1:4">
      <c r="A43" s="4" t="s">
        <v>100</v>
      </c>
      <c r="B43" s="4"/>
      <c r="C43" s="4"/>
      <c r="D43" s="4"/>
    </row>
    <row r="44" spans="1:4">
      <c r="A44" t="s">
        <v>101</v>
      </c>
      <c r="B44" t="s">
        <v>27</v>
      </c>
      <c r="C44" s="5">
        <v>1913000</v>
      </c>
      <c r="D44" t="s">
        <v>102</v>
      </c>
    </row>
    <row r="45" spans="1:4">
      <c r="A45" t="s">
        <v>103</v>
      </c>
      <c r="B45" t="s">
        <v>27</v>
      </c>
      <c r="C45" s="5">
        <v>80000</v>
      </c>
      <c r="D45" t="s">
        <v>104</v>
      </c>
    </row>
    <row r="46" spans="1:4">
      <c r="A46" t="s">
        <v>105</v>
      </c>
      <c r="B46" t="s">
        <v>27</v>
      </c>
      <c r="C46" s="5">
        <v>19000</v>
      </c>
      <c r="D46" t="s">
        <v>106</v>
      </c>
    </row>
    <row r="47" spans="1:4">
      <c r="A47" s="4" t="s">
        <v>107</v>
      </c>
      <c r="B47" s="4"/>
      <c r="C47" s="4"/>
      <c r="D47" s="4"/>
    </row>
    <row r="48" spans="1:4">
      <c r="A48" t="s">
        <v>15</v>
      </c>
      <c r="B48" t="s">
        <v>27</v>
      </c>
      <c r="C48" s="5">
        <v>2374000</v>
      </c>
      <c r="D48" t="s">
        <v>108</v>
      </c>
    </row>
    <row r="49" spans="1:4">
      <c r="A49" t="s">
        <v>109</v>
      </c>
      <c r="B49" t="s">
        <v>27</v>
      </c>
      <c r="C49" s="5">
        <v>0</v>
      </c>
      <c r="D49" t="s">
        <v>110</v>
      </c>
    </row>
    <row r="50" spans="1:4">
      <c r="A50" t="s">
        <v>111</v>
      </c>
      <c r="B50" t="s">
        <v>27</v>
      </c>
      <c r="C50" s="5">
        <v>60000</v>
      </c>
      <c r="D50" t="s">
        <v>112</v>
      </c>
    </row>
    <row r="51" spans="1:4">
      <c r="A51" t="s">
        <v>113</v>
      </c>
      <c r="B51" t="s">
        <v>27</v>
      </c>
      <c r="C51" s="5">
        <v>65000</v>
      </c>
      <c r="D51" t="s">
        <v>114</v>
      </c>
    </row>
    <row r="52" spans="1:4">
      <c r="A52" t="s">
        <v>115</v>
      </c>
      <c r="B52" t="s">
        <v>27</v>
      </c>
      <c r="C52" s="5">
        <v>173000</v>
      </c>
      <c r="D52" t="s">
        <v>114</v>
      </c>
    </row>
    <row r="53" spans="1:4">
      <c r="A53" t="s">
        <v>116</v>
      </c>
      <c r="B53" t="s">
        <v>27</v>
      </c>
      <c r="C53" s="5">
        <v>216000</v>
      </c>
      <c r="D53" t="s">
        <v>117</v>
      </c>
    </row>
    <row r="54" spans="1:4">
      <c r="A54" t="s">
        <v>118</v>
      </c>
      <c r="B54" t="s">
        <v>27</v>
      </c>
      <c r="C54" s="5">
        <v>20000</v>
      </c>
      <c r="D54" t="s">
        <v>119</v>
      </c>
    </row>
    <row r="55" spans="1:4">
      <c r="A55" t="s">
        <v>120</v>
      </c>
      <c r="B55" t="s">
        <v>30</v>
      </c>
      <c r="C55" s="6">
        <v>7</v>
      </c>
      <c r="D55" t="s">
        <v>121</v>
      </c>
    </row>
    <row r="56" spans="1:4">
      <c r="A56" s="4" t="s">
        <v>122</v>
      </c>
      <c r="B56" s="4"/>
      <c r="C56" s="4"/>
      <c r="D56" s="4"/>
    </row>
    <row r="57" spans="1:4">
      <c r="A57" t="s">
        <v>123</v>
      </c>
      <c r="B57" t="s">
        <v>27</v>
      </c>
      <c r="C57" s="5">
        <v>314000</v>
      </c>
      <c r="D57" t="s">
        <v>114</v>
      </c>
    </row>
    <row r="58" spans="1:4">
      <c r="A58" t="s">
        <v>124</v>
      </c>
      <c r="B58" t="s">
        <v>27</v>
      </c>
      <c r="C58" s="5">
        <v>119000</v>
      </c>
      <c r="D58" t="s">
        <v>125</v>
      </c>
    </row>
    <row r="59" spans="1:4">
      <c r="A59" t="s">
        <v>126</v>
      </c>
      <c r="B59" t="s">
        <v>27</v>
      </c>
      <c r="C59" s="5">
        <v>15000</v>
      </c>
      <c r="D59" t="s">
        <v>127</v>
      </c>
    </row>
    <row r="60" spans="1:4">
      <c r="A60" t="s">
        <v>128</v>
      </c>
      <c r="B60" t="s">
        <v>27</v>
      </c>
      <c r="C60" s="5">
        <v>44000</v>
      </c>
      <c r="D60" t="s">
        <v>129</v>
      </c>
    </row>
    <row r="61" spans="1:4">
      <c r="A61" t="s">
        <v>130</v>
      </c>
      <c r="B61" t="s">
        <v>27</v>
      </c>
      <c r="C61" s="5">
        <v>71000</v>
      </c>
      <c r="D61" t="s">
        <v>131</v>
      </c>
    </row>
    <row r="62" spans="1:4">
      <c r="A62" t="s">
        <v>132</v>
      </c>
      <c r="B62" t="s">
        <v>27</v>
      </c>
      <c r="C62" s="5">
        <v>15000</v>
      </c>
      <c r="D62" t="s">
        <v>133</v>
      </c>
    </row>
    <row r="63" spans="1:4">
      <c r="A63" s="4" t="s">
        <v>134</v>
      </c>
      <c r="B63" s="4"/>
      <c r="C63" s="4"/>
      <c r="D63" s="4"/>
    </row>
    <row r="64" spans="1:4">
      <c r="A64" t="s">
        <v>135</v>
      </c>
      <c r="B64" t="s">
        <v>30</v>
      </c>
      <c r="C64" s="6">
        <v>9</v>
      </c>
      <c r="D64" t="s">
        <v>136</v>
      </c>
    </row>
    <row r="65" spans="1:4">
      <c r="A65" t="s">
        <v>137</v>
      </c>
      <c r="B65" t="s">
        <v>77</v>
      </c>
      <c r="C65" s="6">
        <v>20</v>
      </c>
      <c r="D65" t="s">
        <v>138</v>
      </c>
    </row>
    <row r="66" spans="1:4">
      <c r="A66" t="s">
        <v>139</v>
      </c>
      <c r="B66" t="s">
        <v>30</v>
      </c>
      <c r="C66" s="6">
        <v>15</v>
      </c>
      <c r="D66" t="s">
        <v>8</v>
      </c>
    </row>
    <row r="67" spans="1:4">
      <c r="A67" t="s">
        <v>140</v>
      </c>
      <c r="B67" t="s">
        <v>30</v>
      </c>
      <c r="C67" s="6">
        <v>4.7</v>
      </c>
      <c r="D67" t="s">
        <v>141</v>
      </c>
    </row>
    <row r="68" spans="1:4">
      <c r="A68" t="s">
        <v>142</v>
      </c>
      <c r="B68" t="s">
        <v>27</v>
      </c>
      <c r="C68" s="5">
        <v>15000</v>
      </c>
      <c r="D68" t="s">
        <v>143</v>
      </c>
    </row>
    <row r="69" spans="1:4">
      <c r="A69" s="4" t="s">
        <v>144</v>
      </c>
      <c r="B69" s="4"/>
      <c r="C69" s="4"/>
      <c r="D69" s="4"/>
    </row>
    <row r="70" spans="1:4">
      <c r="A70" t="s">
        <v>17</v>
      </c>
      <c r="B70" t="s">
        <v>77</v>
      </c>
      <c r="C70" s="6">
        <v>20</v>
      </c>
      <c r="D70" t="s">
        <v>145</v>
      </c>
    </row>
    <row r="71" spans="1:4">
      <c r="A71" t="s">
        <v>146</v>
      </c>
      <c r="B71" t="s">
        <v>30</v>
      </c>
      <c r="C71" s="6">
        <v>25</v>
      </c>
      <c r="D7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0" workbookViewId="0" showGridLines="true" showRowColHeaders="1">
      <pane ySplit="4" activePane="bottomLeft" state="frozen" topLeftCell="A5"/>
      <selection pane="bottomLeft" activeCell="B46" sqref="B46:B48"/>
    </sheetView>
  </sheetViews>
  <sheetFormatPr defaultRowHeight="14.4" outlineLevelRow="0" outlineLevelCol="0"/>
  <cols>
    <col min="1" max="1" width="46" customWidth="true" style="0"/>
    <col min="2" max="2" width="18" customWidth="true" style="0"/>
    <col min="3" max="3" width="18" customWidth="true" style="0"/>
    <col min="4" max="4" width="62" customWidth="true" style="0"/>
  </cols>
  <sheetData>
    <row r="1" spans="1:4">
      <c r="A1" s="2" t="s">
        <v>148</v>
      </c>
    </row>
    <row r="2" spans="1:4">
      <c r="A2" t="s">
        <v>149</v>
      </c>
    </row>
    <row r="4" spans="1:4">
      <c r="A4" s="3" t="s">
        <v>21</v>
      </c>
      <c r="B4" s="3" t="s">
        <v>150</v>
      </c>
      <c r="C4" s="3" t="s">
        <v>151</v>
      </c>
      <c r="D4" s="3" t="s">
        <v>152</v>
      </c>
    </row>
    <row r="5" spans="1:4">
      <c r="A5" s="4" t="s">
        <v>153</v>
      </c>
      <c r="B5" s="19"/>
      <c r="C5" s="19"/>
      <c r="D5" s="4"/>
    </row>
    <row r="6" spans="1:4">
      <c r="A6" t="s">
        <v>154</v>
      </c>
      <c r="B6" s="10">
        <f>'Hypothèses'!$C$44</f>
        <v>1913000</v>
      </c>
      <c r="C6" s="10">
        <f>B6</f>
        <v>1913000</v>
      </c>
      <c r="D6" t="s">
        <v>155</v>
      </c>
    </row>
    <row r="7" spans="1:4">
      <c r="A7" t="s">
        <v>156</v>
      </c>
      <c r="B7" s="10">
        <f>'Hypothèses'!$C$45</f>
        <v>80000</v>
      </c>
      <c r="C7" s="10">
        <f>IF('Hypothèses'!$C$42&gt;=0.5,B7,B7/(1+('Hypothèses'!$C$41/100)))</f>
        <v>66666.66666666667152</v>
      </c>
    </row>
    <row r="8" spans="1:4">
      <c r="A8" t="s">
        <v>105</v>
      </c>
      <c r="B8" s="10">
        <f>'Hypothèses'!$C$46</f>
        <v>19000</v>
      </c>
      <c r="C8" s="10">
        <f>B8</f>
        <v>19000</v>
      </c>
      <c r="D8" t="s">
        <v>155</v>
      </c>
    </row>
    <row r="9" spans="1:4">
      <c r="A9" s="4" t="s">
        <v>157</v>
      </c>
      <c r="B9" s="19"/>
      <c r="C9" s="19"/>
      <c r="D9" s="4"/>
    </row>
    <row r="10" spans="1:4">
      <c r="A10" t="s">
        <v>15</v>
      </c>
      <c r="B10" s="10">
        <f>'Hypothèses'!$C$48</f>
        <v>2374000</v>
      </c>
      <c r="C10" s="10">
        <f>IF('Hypothèses'!$C$42&gt;=0.5,B10,B10/(1+('Hypothèses'!$C$41/100)))</f>
        <v>1978333.33333333348855</v>
      </c>
    </row>
    <row r="11" spans="1:4">
      <c r="A11" t="s">
        <v>109</v>
      </c>
      <c r="B11" s="10">
        <f>'Hypothèses'!$C$49</f>
        <v>0</v>
      </c>
      <c r="C11" s="10">
        <f>IF('Hypothèses'!$C$42&gt;=0.5,B11,B11/(1+('Hypothèses'!$C$41/100)))</f>
        <v>0</v>
      </c>
    </row>
    <row r="12" spans="1:4">
      <c r="A12" t="s">
        <v>111</v>
      </c>
      <c r="B12" s="10">
        <f>'Hypothèses'!$C$50</f>
        <v>60000</v>
      </c>
      <c r="C12" s="10">
        <f>IF('Hypothèses'!$C$42&gt;=0.5,B12,B12/(1+('Hypothèses'!$C$41/100)))</f>
        <v>50000</v>
      </c>
    </row>
    <row r="13" spans="1:4">
      <c r="A13" t="s">
        <v>113</v>
      </c>
      <c r="B13" s="10">
        <f>'Hypothèses'!$C$51</f>
        <v>65000</v>
      </c>
      <c r="C13" s="10">
        <f>IF('Hypothèses'!$C$42&gt;=0.5,B13,B13/(1+('Hypothèses'!$C$41/100)))</f>
        <v>54166.66666666667152</v>
      </c>
    </row>
    <row r="14" spans="1:4">
      <c r="A14" t="s">
        <v>115</v>
      </c>
      <c r="B14" s="10">
        <f>'Hypothèses'!$C$52</f>
        <v>173000</v>
      </c>
      <c r="C14" s="10">
        <f>IF('Hypothèses'!$C$42&gt;=0.5,B14,B14/(1+('Hypothèses'!$C$41/100)))</f>
        <v>144166.66666666668607</v>
      </c>
    </row>
    <row r="15" spans="1:4">
      <c r="A15" t="s">
        <v>116</v>
      </c>
      <c r="B15" s="10">
        <f>'Hypothèses'!$C$53</f>
        <v>216000</v>
      </c>
      <c r="C15" s="10">
        <f>IF('Hypothèses'!$C$42&gt;=0.5,B15,B15/(1+('Hypothèses'!$C$41/100)))</f>
        <v>180000</v>
      </c>
    </row>
    <row r="16" spans="1:4">
      <c r="A16" t="s">
        <v>158</v>
      </c>
      <c r="B16" s="10">
        <f>'Hypothèses'!$C$54</f>
        <v>20000</v>
      </c>
      <c r="C16" s="10">
        <f>IF('Hypothèses'!$C$42&gt;=0.5,B16,B16/(1+('Hypothèses'!$C$41/100)))</f>
        <v>16666.66666666666788</v>
      </c>
    </row>
    <row r="17" spans="1:4">
      <c r="A17" t="s">
        <v>159</v>
      </c>
      <c r="B17" s="10">
        <f>('Hypothèses'!$C$48+'Hypothèses'!$C$49)*'Hypothèses'!$C$55/100</f>
        <v>166180</v>
      </c>
      <c r="C17" s="10">
        <f>IF('Hypothèses'!$C$42&gt;=0.5,B17,B17/(1+('Hypothèses'!$C$41/100)))</f>
        <v>138483.33333333334303</v>
      </c>
      <c r="D17" t="s">
        <v>160</v>
      </c>
    </row>
    <row r="18" spans="1:4">
      <c r="A18" s="4" t="s">
        <v>161</v>
      </c>
      <c r="B18" s="19"/>
      <c r="C18" s="19"/>
      <c r="D18" s="4"/>
    </row>
    <row r="19" spans="1:4">
      <c r="A19" t="s">
        <v>123</v>
      </c>
      <c r="B19" s="10">
        <f>'Hypothèses'!$C$57</f>
        <v>314000</v>
      </c>
      <c r="C19" s="10">
        <f>IF('Hypothèses'!$C$42&gt;=0.5,B19,B19/(1+('Hypothèses'!$C$41/100)))</f>
        <v>261666.66666666668607</v>
      </c>
    </row>
    <row r="20" spans="1:4">
      <c r="A20" t="s">
        <v>124</v>
      </c>
      <c r="B20" s="10">
        <f>'Hypothèses'!$C$58</f>
        <v>119000</v>
      </c>
      <c r="C20" s="10">
        <f>IF('Hypothèses'!$C$42&gt;=0.5,B20,B20/(1+('Hypothèses'!$C$41/100)))</f>
        <v>99166.66666666667152</v>
      </c>
    </row>
    <row r="21" spans="1:4">
      <c r="A21" t="s">
        <v>162</v>
      </c>
      <c r="B21" s="10">
        <f>'Hypothèses'!$C$59</f>
        <v>15000</v>
      </c>
      <c r="C21" s="10">
        <f>IF('Hypothèses'!$C$42&gt;=0.5,B21,B21/(1+('Hypothèses'!$C$41/100)))</f>
        <v>12500</v>
      </c>
    </row>
    <row r="22" spans="1:4">
      <c r="A22" t="s">
        <v>128</v>
      </c>
      <c r="B22" s="10">
        <f>'Hypothèses'!$C$60</f>
        <v>44000</v>
      </c>
      <c r="C22" s="10">
        <f>B22</f>
        <v>44000</v>
      </c>
      <c r="D22" t="s">
        <v>155</v>
      </c>
    </row>
    <row r="23" spans="1:4">
      <c r="A23" t="s">
        <v>130</v>
      </c>
      <c r="B23" s="10">
        <f>'Hypothèses'!$C$61</f>
        <v>71000</v>
      </c>
      <c r="C23" s="10">
        <f>IF('Hypothèses'!$C$42&gt;=0.5,B23,B23/(1+('Hypothèses'!$C$41/100)))</f>
        <v>59166.66666666667152</v>
      </c>
    </row>
    <row r="24" spans="1:4">
      <c r="A24" t="s">
        <v>163</v>
      </c>
      <c r="B24" s="10">
        <f>'Hypothèses'!$C$62</f>
        <v>15000</v>
      </c>
      <c r="C24" s="10">
        <f>IF('Hypothèses'!$C$42&gt;=0.5,B24,B24/(1+('Hypothèses'!$C$41/100)))</f>
        <v>12500</v>
      </c>
    </row>
    <row r="25" spans="1:4">
      <c r="A25" s="15" t="s">
        <v>164</v>
      </c>
      <c r="B25" s="20">
        <f>SUM(B5:B24)</f>
        <v>5664180</v>
      </c>
      <c r="C25" s="20">
        <f>SUM(C5:C24)</f>
        <v>5049483.33333333395422</v>
      </c>
      <c r="D25" s="16"/>
    </row>
    <row r="26" spans="1:4">
      <c r="B26" s="10"/>
      <c r="C26" s="10"/>
    </row>
    <row r="27" spans="1:4">
      <c r="A27" s="4" t="s">
        <v>165</v>
      </c>
      <c r="B27" s="19"/>
      <c r="C27" s="19"/>
      <c r="D27" s="4"/>
    </row>
    <row r="28" spans="1:4">
      <c r="A28" t="s">
        <v>166</v>
      </c>
      <c r="B28" s="10">
        <f>B25</f>
        <v>5664180</v>
      </c>
      <c r="C28" s="10"/>
    </row>
    <row r="29" spans="1:4">
      <c r="A29" t="s">
        <v>8</v>
      </c>
      <c r="B29" s="10">
        <f>B28*'Hypothèses'!$C$66/100</f>
        <v>849627</v>
      </c>
      <c r="C29" s="10"/>
    </row>
    <row r="30" spans="1:4">
      <c r="A30" t="s">
        <v>167</v>
      </c>
      <c r="B30" s="10">
        <f>B28-B29</f>
        <v>4814553</v>
      </c>
      <c r="C30" s="10"/>
    </row>
    <row r="31" spans="1:4">
      <c r="A31" t="s">
        <v>168</v>
      </c>
      <c r="B31" s="10">
        <f>B30*'Hypothèses'!$C$64/100*'Hypothèses'!$C$65/12</f>
        <v>722182.95000000006985</v>
      </c>
      <c r="C31" s="10"/>
    </row>
    <row r="32" spans="1:4">
      <c r="A32" t="s">
        <v>169</v>
      </c>
      <c r="B32" s="10">
        <f>B28*'Hypothèses'!$C$67/100</f>
        <v>266216.46000000002095</v>
      </c>
      <c r="C32" s="10"/>
    </row>
    <row r="33" spans="1:4">
      <c r="A33" t="s">
        <v>142</v>
      </c>
      <c r="B33" s="10">
        <f>'Hypothèses'!$C$68</f>
        <v>15000</v>
      </c>
      <c r="C33" s="10"/>
    </row>
    <row r="34" spans="1:4">
      <c r="A34" s="1" t="s">
        <v>4</v>
      </c>
      <c r="B34" s="12">
        <f>B31+B32+B33</f>
        <v>1003399.41000000014901</v>
      </c>
      <c r="C34" s="10"/>
    </row>
    <row r="35" spans="1:4">
      <c r="B35" s="10"/>
      <c r="C35" s="10"/>
    </row>
    <row r="36" spans="1:4">
      <c r="A36" s="4" t="s">
        <v>170</v>
      </c>
      <c r="B36" s="19"/>
      <c r="C36" s="19"/>
      <c r="D36" s="4"/>
    </row>
    <row r="37" spans="1:4">
      <c r="A37" t="s">
        <v>2</v>
      </c>
      <c r="B37" s="10">
        <f>B40*'Hypothèses'!$C$38</f>
        <v>12546479</v>
      </c>
      <c r="C37" s="10"/>
      <c r="D37" t="s">
        <v>171</v>
      </c>
    </row>
    <row r="38" spans="1:4">
      <c r="A38" t="s">
        <v>172</v>
      </c>
      <c r="B38" s="10">
        <f>IF('Hypothèses'!$C$42&gt;=0.5,B37-(B37-B6)*('Hypothèses'!$C$40/100)/(1+('Hypothèses'!$C$40/100)),B37/(1+('Hypothèses'!$C$40/100)))</f>
        <v>10455399.16666666790843</v>
      </c>
      <c r="C38" s="10"/>
      <c r="D38" t="s">
        <v>173</v>
      </c>
    </row>
    <row r="39" spans="1:4">
      <c r="A39" t="s">
        <v>174</v>
      </c>
      <c r="B39" s="8">
        <f>B38/B40</f>
        <v>12723.33333333333394</v>
      </c>
      <c r="C39" s="10"/>
    </row>
    <row r="40" spans="1:4">
      <c r="A40" t="s">
        <v>175</v>
      </c>
      <c r="B40" s="22">
        <f>'Hypothèses'!$C$35*'Hypothèses'!$C$36/100</f>
        <v>821.75</v>
      </c>
      <c r="C40" s="10"/>
      <c r="D40" t="s">
        <v>176</v>
      </c>
    </row>
    <row r="41" spans="1:4">
      <c r="A41" s="4" t="s">
        <v>177</v>
      </c>
      <c r="B41" s="19"/>
      <c r="C41" s="19"/>
      <c r="D41" s="4"/>
    </row>
    <row r="42" spans="1:4">
      <c r="A42" t="s">
        <v>178</v>
      </c>
      <c r="B42" s="10">
        <f>B38-C25</f>
        <v>5405915.83333333395422</v>
      </c>
      <c r="C42" s="10"/>
    </row>
    <row r="43" spans="1:4">
      <c r="A43" t="s">
        <v>179</v>
      </c>
      <c r="B43" s="10">
        <f>B42-B34</f>
        <v>4402516.4233333338052</v>
      </c>
      <c r="C43" s="10"/>
    </row>
    <row r="44" spans="1:4">
      <c r="A44" t="s">
        <v>180</v>
      </c>
      <c r="B44" s="10">
        <f>MAX(0,B43*('Hypothèses'!$C$71/100))</f>
        <v>1100629.1058333334513</v>
      </c>
      <c r="C44" s="10"/>
    </row>
    <row r="45" spans="1:4">
      <c r="A45" s="18" t="s">
        <v>5</v>
      </c>
      <c r="B45" s="21">
        <f>B43-B44</f>
        <v>3301887.3175000003539</v>
      </c>
    </row>
    <row r="46" spans="1:4">
      <c r="A46" t="s">
        <v>181</v>
      </c>
      <c r="B46" s="13">
        <f>B45/B38</f>
        <v>0.31580691132548</v>
      </c>
      <c r="D46" t="s">
        <v>182</v>
      </c>
    </row>
    <row r="47" spans="1:4">
      <c r="A47" t="s">
        <v>183</v>
      </c>
      <c r="B47" s="13">
        <f>B45/C25</f>
        <v>0.65390597404355</v>
      </c>
    </row>
    <row r="48" spans="1:4">
      <c r="A48" t="s">
        <v>9</v>
      </c>
      <c r="B48" s="13">
        <f>B45/B29</f>
        <v>3.8862787052436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N37"/>
  <sheetViews>
    <sheetView tabSelected="0" workbookViewId="0" showGridLines="true" showRowColHeaders="1">
      <pane xSplit="4" ySplit="4" activePane="bottomRight" state="frozen" topLeftCell="E5"/>
      <selection pane="bottomRight" activeCell="E35" sqref="E35:AN35"/>
    </sheetView>
  </sheetViews>
  <sheetFormatPr defaultRowHeight="14.4" outlineLevelRow="0" outlineLevelCol="0"/>
  <cols>
    <col min="1" max="1" width="48" customWidth="true" style="0"/>
    <col min="2" max="2" width="8" customWidth="true" style="0"/>
    <col min="3" max="3" width="8" customWidth="true" style="0"/>
    <col min="4" max="4" width="14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</cols>
  <sheetData>
    <row r="1" spans="1:40">
      <c r="A1" s="2" t="s">
        <v>184</v>
      </c>
    </row>
    <row r="2" spans="1:40">
      <c r="A2" t="s">
        <v>185</v>
      </c>
    </row>
    <row r="4" spans="1:40">
      <c r="A4" s="3" t="s">
        <v>21</v>
      </c>
      <c r="B4" s="3" t="s">
        <v>186</v>
      </c>
      <c r="C4" s="3" t="s">
        <v>187</v>
      </c>
      <c r="D4" s="3" t="s">
        <v>188</v>
      </c>
      <c r="E4" s="3" t="s">
        <v>189</v>
      </c>
      <c r="F4" s="3" t="s">
        <v>190</v>
      </c>
      <c r="G4" s="3" t="s">
        <v>191</v>
      </c>
      <c r="H4" s="3" t="s">
        <v>192</v>
      </c>
      <c r="I4" s="3" t="s">
        <v>193</v>
      </c>
      <c r="J4" s="3" t="s">
        <v>194</v>
      </c>
      <c r="K4" s="3" t="s">
        <v>195</v>
      </c>
      <c r="L4" s="3" t="s">
        <v>196</v>
      </c>
      <c r="M4" s="3" t="s">
        <v>197</v>
      </c>
      <c r="N4" s="3" t="s">
        <v>198</v>
      </c>
      <c r="O4" s="3" t="s">
        <v>199</v>
      </c>
      <c r="P4" s="3" t="s">
        <v>200</v>
      </c>
      <c r="Q4" s="3" t="s">
        <v>201</v>
      </c>
      <c r="R4" s="3" t="s">
        <v>202</v>
      </c>
      <c r="S4" s="3" t="s">
        <v>203</v>
      </c>
      <c r="T4" s="3" t="s">
        <v>204</v>
      </c>
      <c r="U4" s="3" t="s">
        <v>205</v>
      </c>
      <c r="V4" s="3" t="s">
        <v>206</v>
      </c>
      <c r="W4" s="3" t="s">
        <v>207</v>
      </c>
      <c r="X4" s="3" t="s">
        <v>208</v>
      </c>
      <c r="Y4" s="3" t="s">
        <v>209</v>
      </c>
      <c r="Z4" s="3" t="s">
        <v>210</v>
      </c>
      <c r="AA4" s="3" t="s">
        <v>211</v>
      </c>
      <c r="AB4" s="3" t="s">
        <v>212</v>
      </c>
      <c r="AC4" s="3" t="s">
        <v>213</v>
      </c>
      <c r="AD4" s="3" t="s">
        <v>214</v>
      </c>
      <c r="AE4" s="3" t="s">
        <v>215</v>
      </c>
      <c r="AF4" s="3" t="s">
        <v>216</v>
      </c>
      <c r="AG4" s="3" t="s">
        <v>217</v>
      </c>
      <c r="AH4" s="3" t="s">
        <v>218</v>
      </c>
      <c r="AI4" s="3" t="s">
        <v>219</v>
      </c>
      <c r="AJ4" s="3" t="s">
        <v>220</v>
      </c>
      <c r="AK4" s="3" t="s">
        <v>221</v>
      </c>
      <c r="AL4" s="3" t="s">
        <v>222</v>
      </c>
      <c r="AM4" s="3" t="s">
        <v>223</v>
      </c>
      <c r="AN4" s="3" t="s">
        <v>224</v>
      </c>
    </row>
    <row r="5" spans="1:40">
      <c r="A5" s="4" t="s">
        <v>225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t="s">
        <v>8</v>
      </c>
      <c r="B6" s="26">
        <v>1</v>
      </c>
      <c r="C6" s="26">
        <v>1</v>
      </c>
      <c r="D6" s="23">
        <f>Bilan!B29</f>
        <v>849627</v>
      </c>
      <c r="E6" s="23">
        <f>IF(AND(1&gt;=$B6,1&lt;=$C6),$D6/($C6-$B6+1),0)</f>
        <v>849627</v>
      </c>
      <c r="F6" s="23">
        <f>IF(AND(2&gt;=$B6,2&lt;=$C6),$D6/($C6-$B6+1),0)</f>
        <v>0</v>
      </c>
      <c r="G6" s="23">
        <f>IF(AND(3&gt;=$B6,3&lt;=$C6),$D6/($C6-$B6+1),0)</f>
        <v>0</v>
      </c>
      <c r="H6" s="23">
        <f>IF(AND(4&gt;=$B6,4&lt;=$C6),$D6/($C6-$B6+1),0)</f>
        <v>0</v>
      </c>
      <c r="I6" s="23">
        <f>IF(AND(5&gt;=$B6,5&lt;=$C6),$D6/($C6-$B6+1),0)</f>
        <v>0</v>
      </c>
      <c r="J6" s="23">
        <f>IF(AND(6&gt;=$B6,6&lt;=$C6),$D6/($C6-$B6+1),0)</f>
        <v>0</v>
      </c>
      <c r="K6" s="23">
        <f>IF(AND(7&gt;=$B6,7&lt;=$C6),$D6/($C6-$B6+1),0)</f>
        <v>0</v>
      </c>
      <c r="L6" s="23">
        <f>IF(AND(8&gt;=$B6,8&lt;=$C6),$D6/($C6-$B6+1),0)</f>
        <v>0</v>
      </c>
      <c r="M6" s="23">
        <f>IF(AND(9&gt;=$B6,9&lt;=$C6),$D6/($C6-$B6+1),0)</f>
        <v>0</v>
      </c>
      <c r="N6" s="23">
        <f>IF(AND(10&gt;=$B6,10&lt;=$C6),$D6/($C6-$B6+1),0)</f>
        <v>0</v>
      </c>
      <c r="O6" s="23">
        <f>IF(AND(11&gt;=$B6,11&lt;=$C6),$D6/($C6-$B6+1),0)</f>
        <v>0</v>
      </c>
      <c r="P6" s="23">
        <f>IF(AND(12&gt;=$B6,12&lt;=$C6),$D6/($C6-$B6+1),0)</f>
        <v>0</v>
      </c>
      <c r="Q6" s="23">
        <f>IF(AND(13&gt;=$B6,13&lt;=$C6),$D6/($C6-$B6+1),0)</f>
        <v>0</v>
      </c>
      <c r="R6" s="23">
        <f>IF(AND(14&gt;=$B6,14&lt;=$C6),$D6/($C6-$B6+1),0)</f>
        <v>0</v>
      </c>
      <c r="S6" s="23">
        <f>IF(AND(15&gt;=$B6,15&lt;=$C6),$D6/($C6-$B6+1),0)</f>
        <v>0</v>
      </c>
      <c r="T6" s="23">
        <f>IF(AND(16&gt;=$B6,16&lt;=$C6),$D6/($C6-$B6+1),0)</f>
        <v>0</v>
      </c>
      <c r="U6" s="23">
        <f>IF(AND(17&gt;=$B6,17&lt;=$C6),$D6/($C6-$B6+1),0)</f>
        <v>0</v>
      </c>
      <c r="V6" s="23">
        <f>IF(AND(18&gt;=$B6,18&lt;=$C6),$D6/($C6-$B6+1),0)</f>
        <v>0</v>
      </c>
      <c r="W6" s="23">
        <f>IF(AND(19&gt;=$B6,19&lt;=$C6),$D6/($C6-$B6+1),0)</f>
        <v>0</v>
      </c>
      <c r="X6" s="23">
        <f>IF(AND(20&gt;=$B6,20&lt;=$C6),$D6/($C6-$B6+1),0)</f>
        <v>0</v>
      </c>
      <c r="Y6" s="23">
        <f>IF(AND(21&gt;=$B6,21&lt;=$C6),$D6/($C6-$B6+1),0)</f>
        <v>0</v>
      </c>
      <c r="Z6" s="23">
        <f>IF(AND(22&gt;=$B6,22&lt;=$C6),$D6/($C6-$B6+1),0)</f>
        <v>0</v>
      </c>
      <c r="AA6" s="23">
        <f>IF(AND(23&gt;=$B6,23&lt;=$C6),$D6/($C6-$B6+1),0)</f>
        <v>0</v>
      </c>
      <c r="AB6" s="23">
        <f>IF(AND(24&gt;=$B6,24&lt;=$C6),$D6/($C6-$B6+1),0)</f>
        <v>0</v>
      </c>
      <c r="AC6" s="23">
        <f>IF(AND(25&gt;=$B6,25&lt;=$C6),$D6/($C6-$B6+1),0)</f>
        <v>0</v>
      </c>
      <c r="AD6" s="23">
        <f>IF(AND(26&gt;=$B6,26&lt;=$C6),$D6/($C6-$B6+1),0)</f>
        <v>0</v>
      </c>
      <c r="AE6" s="23">
        <f>IF(AND(27&gt;=$B6,27&lt;=$C6),$D6/($C6-$B6+1),0)</f>
        <v>0</v>
      </c>
      <c r="AF6" s="23">
        <f>IF(AND(28&gt;=$B6,28&lt;=$C6),$D6/($C6-$B6+1),0)</f>
        <v>0</v>
      </c>
      <c r="AG6" s="23">
        <f>IF(AND(29&gt;=$B6,29&lt;=$C6),$D6/($C6-$B6+1),0)</f>
        <v>0</v>
      </c>
      <c r="AH6" s="23">
        <f>IF(AND(30&gt;=$B6,30&lt;=$C6),$D6/($C6-$B6+1),0)</f>
        <v>0</v>
      </c>
      <c r="AI6" s="23">
        <f>IF(AND(31&gt;=$B6,31&lt;=$C6),$D6/($C6-$B6+1),0)</f>
        <v>0</v>
      </c>
      <c r="AJ6" s="23">
        <f>IF(AND(32&gt;=$B6,32&lt;=$C6),$D6/($C6-$B6+1),0)</f>
        <v>0</v>
      </c>
      <c r="AK6" s="23">
        <f>IF(AND(33&gt;=$B6,33&lt;=$C6),$D6/($C6-$B6+1),0)</f>
        <v>0</v>
      </c>
      <c r="AL6" s="23">
        <f>IF(AND(34&gt;=$B6,34&lt;=$C6),$D6/($C6-$B6+1),0)</f>
        <v>0</v>
      </c>
      <c r="AM6" s="23">
        <f>IF(AND(35&gt;=$B6,35&lt;=$C6),$D6/($C6-$B6+1),0)</f>
        <v>0</v>
      </c>
      <c r="AN6" s="23">
        <f>IF(AND(36&gt;=$B6,36&lt;=$C6),$D6/($C6-$B6+1),0)</f>
        <v>0</v>
      </c>
    </row>
    <row r="7" spans="1:40">
      <c r="A7" t="s">
        <v>226</v>
      </c>
      <c r="B7" s="26">
        <v>1</v>
      </c>
      <c r="C7" s="26">
        <v>1</v>
      </c>
      <c r="D7" s="23">
        <f>Bilan!B30</f>
        <v>4814553</v>
      </c>
      <c r="E7" s="23">
        <f>IF(AND(1&gt;=$B7,1&lt;=$C7),$D7/($C7-$B7+1),0)</f>
        <v>4814553</v>
      </c>
      <c r="F7" s="23">
        <f>IF(AND(2&gt;=$B7,2&lt;=$C7),$D7/($C7-$B7+1),0)</f>
        <v>0</v>
      </c>
      <c r="G7" s="23">
        <f>IF(AND(3&gt;=$B7,3&lt;=$C7),$D7/($C7-$B7+1),0)</f>
        <v>0</v>
      </c>
      <c r="H7" s="23">
        <f>IF(AND(4&gt;=$B7,4&lt;=$C7),$D7/($C7-$B7+1),0)</f>
        <v>0</v>
      </c>
      <c r="I7" s="23">
        <f>IF(AND(5&gt;=$B7,5&lt;=$C7),$D7/($C7-$B7+1),0)</f>
        <v>0</v>
      </c>
      <c r="J7" s="23">
        <f>IF(AND(6&gt;=$B7,6&lt;=$C7),$D7/($C7-$B7+1),0)</f>
        <v>0</v>
      </c>
      <c r="K7" s="23">
        <f>IF(AND(7&gt;=$B7,7&lt;=$C7),$D7/($C7-$B7+1),0)</f>
        <v>0</v>
      </c>
      <c r="L7" s="23">
        <f>IF(AND(8&gt;=$B7,8&lt;=$C7),$D7/($C7-$B7+1),0)</f>
        <v>0</v>
      </c>
      <c r="M7" s="23">
        <f>IF(AND(9&gt;=$B7,9&lt;=$C7),$D7/($C7-$B7+1),0)</f>
        <v>0</v>
      </c>
      <c r="N7" s="23">
        <f>IF(AND(10&gt;=$B7,10&lt;=$C7),$D7/($C7-$B7+1),0)</f>
        <v>0</v>
      </c>
      <c r="O7" s="23">
        <f>IF(AND(11&gt;=$B7,11&lt;=$C7),$D7/($C7-$B7+1),0)</f>
        <v>0</v>
      </c>
      <c r="P7" s="23">
        <f>IF(AND(12&gt;=$B7,12&lt;=$C7),$D7/($C7-$B7+1),0)</f>
        <v>0</v>
      </c>
      <c r="Q7" s="23">
        <f>IF(AND(13&gt;=$B7,13&lt;=$C7),$D7/($C7-$B7+1),0)</f>
        <v>0</v>
      </c>
      <c r="R7" s="23">
        <f>IF(AND(14&gt;=$B7,14&lt;=$C7),$D7/($C7-$B7+1),0)</f>
        <v>0</v>
      </c>
      <c r="S7" s="23">
        <f>IF(AND(15&gt;=$B7,15&lt;=$C7),$D7/($C7-$B7+1),0)</f>
        <v>0</v>
      </c>
      <c r="T7" s="23">
        <f>IF(AND(16&gt;=$B7,16&lt;=$C7),$D7/($C7-$B7+1),0)</f>
        <v>0</v>
      </c>
      <c r="U7" s="23">
        <f>IF(AND(17&gt;=$B7,17&lt;=$C7),$D7/($C7-$B7+1),0)</f>
        <v>0</v>
      </c>
      <c r="V7" s="23">
        <f>IF(AND(18&gt;=$B7,18&lt;=$C7),$D7/($C7-$B7+1),0)</f>
        <v>0</v>
      </c>
      <c r="W7" s="23">
        <f>IF(AND(19&gt;=$B7,19&lt;=$C7),$D7/($C7-$B7+1),0)</f>
        <v>0</v>
      </c>
      <c r="X7" s="23">
        <f>IF(AND(20&gt;=$B7,20&lt;=$C7),$D7/($C7-$B7+1),0)</f>
        <v>0</v>
      </c>
      <c r="Y7" s="23">
        <f>IF(AND(21&gt;=$B7,21&lt;=$C7),$D7/($C7-$B7+1),0)</f>
        <v>0</v>
      </c>
      <c r="Z7" s="23">
        <f>IF(AND(22&gt;=$B7,22&lt;=$C7),$D7/($C7-$B7+1),0)</f>
        <v>0</v>
      </c>
      <c r="AA7" s="23">
        <f>IF(AND(23&gt;=$B7,23&lt;=$C7),$D7/($C7-$B7+1),0)</f>
        <v>0</v>
      </c>
      <c r="AB7" s="23">
        <f>IF(AND(24&gt;=$B7,24&lt;=$C7),$D7/($C7-$B7+1),0)</f>
        <v>0</v>
      </c>
      <c r="AC7" s="23">
        <f>IF(AND(25&gt;=$B7,25&lt;=$C7),$D7/($C7-$B7+1),0)</f>
        <v>0</v>
      </c>
      <c r="AD7" s="23">
        <f>IF(AND(26&gt;=$B7,26&lt;=$C7),$D7/($C7-$B7+1),0)</f>
        <v>0</v>
      </c>
      <c r="AE7" s="23">
        <f>IF(AND(27&gt;=$B7,27&lt;=$C7),$D7/($C7-$B7+1),0)</f>
        <v>0</v>
      </c>
      <c r="AF7" s="23">
        <f>IF(AND(28&gt;=$B7,28&lt;=$C7),$D7/($C7-$B7+1),0)</f>
        <v>0</v>
      </c>
      <c r="AG7" s="23">
        <f>IF(AND(29&gt;=$B7,29&lt;=$C7),$D7/($C7-$B7+1),0)</f>
        <v>0</v>
      </c>
      <c r="AH7" s="23">
        <f>IF(AND(30&gt;=$B7,30&lt;=$C7),$D7/($C7-$B7+1),0)</f>
        <v>0</v>
      </c>
      <c r="AI7" s="23">
        <f>IF(AND(31&gt;=$B7,31&lt;=$C7),$D7/($C7-$B7+1),0)</f>
        <v>0</v>
      </c>
      <c r="AJ7" s="23">
        <f>IF(AND(32&gt;=$B7,32&lt;=$C7),$D7/($C7-$B7+1),0)</f>
        <v>0</v>
      </c>
      <c r="AK7" s="23">
        <f>IF(AND(33&gt;=$B7,33&lt;=$C7),$D7/($C7-$B7+1),0)</f>
        <v>0</v>
      </c>
      <c r="AL7" s="23">
        <f>IF(AND(34&gt;=$B7,34&lt;=$C7),$D7/($C7-$B7+1),0)</f>
        <v>0</v>
      </c>
      <c r="AM7" s="23">
        <f>IF(AND(35&gt;=$B7,35&lt;=$C7),$D7/($C7-$B7+1),0)</f>
        <v>0</v>
      </c>
      <c r="AN7" s="23">
        <f>IF(AND(36&gt;=$B7,36&lt;=$C7),$D7/($C7-$B7+1),0)</f>
        <v>0</v>
      </c>
    </row>
    <row r="8" spans="1:40">
      <c r="A8" t="s">
        <v>227</v>
      </c>
      <c r="B8" s="27"/>
      <c r="C8" s="27"/>
      <c r="D8" s="23">
        <f>Bilan!B37</f>
        <v>12546479</v>
      </c>
      <c r="E8" s="23">
        <f>IF(1='Hypothèses'!$C$70,$D8,0)</f>
        <v>0</v>
      </c>
      <c r="F8" s="23">
        <f>IF(2='Hypothèses'!$C$70,$D8,0)</f>
        <v>0</v>
      </c>
      <c r="G8" s="23">
        <f>IF(3='Hypothèses'!$C$70,$D8,0)</f>
        <v>0</v>
      </c>
      <c r="H8" s="23">
        <f>IF(4='Hypothèses'!$C$70,$D8,0)</f>
        <v>0</v>
      </c>
      <c r="I8" s="23">
        <f>IF(5='Hypothèses'!$C$70,$D8,0)</f>
        <v>0</v>
      </c>
      <c r="J8" s="23">
        <f>IF(6='Hypothèses'!$C$70,$D8,0)</f>
        <v>0</v>
      </c>
      <c r="K8" s="23">
        <f>IF(7='Hypothèses'!$C$70,$D8,0)</f>
        <v>0</v>
      </c>
      <c r="L8" s="23">
        <f>IF(8='Hypothèses'!$C$70,$D8,0)</f>
        <v>0</v>
      </c>
      <c r="M8" s="23">
        <f>IF(9='Hypothèses'!$C$70,$D8,0)</f>
        <v>0</v>
      </c>
      <c r="N8" s="23">
        <f>IF(10='Hypothèses'!$C$70,$D8,0)</f>
        <v>0</v>
      </c>
      <c r="O8" s="23">
        <f>IF(11='Hypothèses'!$C$70,$D8,0)</f>
        <v>0</v>
      </c>
      <c r="P8" s="23">
        <f>IF(12='Hypothèses'!$C$70,$D8,0)</f>
        <v>0</v>
      </c>
      <c r="Q8" s="23">
        <f>IF(13='Hypothèses'!$C$70,$D8,0)</f>
        <v>0</v>
      </c>
      <c r="R8" s="23">
        <f>IF(14='Hypothèses'!$C$70,$D8,0)</f>
        <v>0</v>
      </c>
      <c r="S8" s="23">
        <f>IF(15='Hypothèses'!$C$70,$D8,0)</f>
        <v>0</v>
      </c>
      <c r="T8" s="23">
        <f>IF(16='Hypothèses'!$C$70,$D8,0)</f>
        <v>0</v>
      </c>
      <c r="U8" s="23">
        <f>IF(17='Hypothèses'!$C$70,$D8,0)</f>
        <v>0</v>
      </c>
      <c r="V8" s="23">
        <f>IF(18='Hypothèses'!$C$70,$D8,0)</f>
        <v>0</v>
      </c>
      <c r="W8" s="23">
        <f>IF(19='Hypothèses'!$C$70,$D8,0)</f>
        <v>0</v>
      </c>
      <c r="X8" s="23">
        <f>IF(20='Hypothèses'!$C$70,$D8,0)</f>
        <v>12546479</v>
      </c>
      <c r="Y8" s="23">
        <f>IF(21='Hypothèses'!$C$70,$D8,0)</f>
        <v>0</v>
      </c>
      <c r="Z8" s="23">
        <f>IF(22='Hypothèses'!$C$70,$D8,0)</f>
        <v>0</v>
      </c>
      <c r="AA8" s="23">
        <f>IF(23='Hypothèses'!$C$70,$D8,0)</f>
        <v>0</v>
      </c>
      <c r="AB8" s="23">
        <f>IF(24='Hypothèses'!$C$70,$D8,0)</f>
        <v>0</v>
      </c>
      <c r="AC8" s="23">
        <f>IF(25='Hypothèses'!$C$70,$D8,0)</f>
        <v>0</v>
      </c>
      <c r="AD8" s="23">
        <f>IF(26='Hypothèses'!$C$70,$D8,0)</f>
        <v>0</v>
      </c>
      <c r="AE8" s="23">
        <f>IF(27='Hypothèses'!$C$70,$D8,0)</f>
        <v>0</v>
      </c>
      <c r="AF8" s="23">
        <f>IF(28='Hypothèses'!$C$70,$D8,0)</f>
        <v>0</v>
      </c>
      <c r="AG8" s="23">
        <f>IF(29='Hypothèses'!$C$70,$D8,0)</f>
        <v>0</v>
      </c>
      <c r="AH8" s="23">
        <f>IF(30='Hypothèses'!$C$70,$D8,0)</f>
        <v>0</v>
      </c>
      <c r="AI8" s="23">
        <f>IF(31='Hypothèses'!$C$70,$D8,0)</f>
        <v>0</v>
      </c>
      <c r="AJ8" s="23">
        <f>IF(32='Hypothèses'!$C$70,$D8,0)</f>
        <v>0</v>
      </c>
      <c r="AK8" s="23">
        <f>IF(33='Hypothèses'!$C$70,$D8,0)</f>
        <v>0</v>
      </c>
      <c r="AL8" s="23">
        <f>IF(34='Hypothèses'!$C$70,$D8,0)</f>
        <v>0</v>
      </c>
      <c r="AM8" s="23">
        <f>IF(35='Hypothèses'!$C$70,$D8,0)</f>
        <v>0</v>
      </c>
      <c r="AN8" s="23">
        <f>IF(36='Hypothèses'!$C$70,$D8,0)</f>
        <v>0</v>
      </c>
    </row>
    <row r="9" spans="1:40">
      <c r="A9" t="s">
        <v>228</v>
      </c>
      <c r="B9" s="27"/>
      <c r="C9" s="27"/>
      <c r="D9" s="23"/>
      <c r="E9" s="23">
        <v>0</v>
      </c>
      <c r="F9" s="23">
        <f>-(E13+E15+E16+E17+E18+E19+E20+E21+E22+E23+E25+E26+E27+E28)*('Hypothèses'!$C$41/100)/(1+('Hypothèses'!$C$41/100))*IF('Hypothèses'!$C$42&gt;=0.5,0,1)</f>
        <v>20102.77777777778101</v>
      </c>
      <c r="G9" s="23">
        <f>-(F13+F15+F16+F17+F18+F19+F20+F21+F22+F23+F25+F26+F27+F28)*('Hypothèses'!$C$41/100)/(1+('Hypothèses'!$C$41/100))*IF('Hypothèses'!$C$42&gt;=0.5,0,1)</f>
        <v>18602.77777777777737</v>
      </c>
      <c r="H9" s="23">
        <f>-(G13+G15+G16+G17+G18+G19+G20+G21+G22+G23+G25+G26+G27+G28)*('Hypothèses'!$C$41/100)/(1+('Hypothèses'!$C$41/100))*IF('Hypothèses'!$C$42&gt;=0.5,0,1)</f>
        <v>30729.65277777778101</v>
      </c>
      <c r="I9" s="23">
        <f>-(H13+H15+H16+H17+H18+H19+H20+H21+H22+H23+H25+H26+H27+H28)*('Hypothèses'!$C$41/100)/(1+('Hypothèses'!$C$41/100))*IF('Hypothèses'!$C$42&gt;=0.5,0,1)</f>
        <v>31840.76388888888687</v>
      </c>
      <c r="J9" s="23">
        <f>-(I13+I15+I16+I17+I18+I19+I20+I21+I22+I23+I25+I26+I27+I28)*('Hypothèses'!$C$41/100)/(1+('Hypothèses'!$C$41/100))*IF('Hypothèses'!$C$42&gt;=0.5,0,1)</f>
        <v>31840.76388888888687</v>
      </c>
      <c r="K9" s="23">
        <f>-(J13+J15+J16+J17+J18+J19+J20+J21+J22+J23+J25+J26+J27+J28)*('Hypothèses'!$C$41/100)/(1+('Hypothèses'!$C$41/100))*IF('Hypothèses'!$C$42&gt;=0.5,0,1)</f>
        <v>31840.76388888888687</v>
      </c>
      <c r="L9" s="23">
        <f>-(K13+K15+K16+K17+K18+K19+K20+K21+K22+K23+K25+K26+K27+K28)*('Hypothèses'!$C$41/100)/(1+('Hypothèses'!$C$41/100))*IF('Hypothèses'!$C$42&gt;=0.5,0,1)</f>
        <v>30729.65277777778101</v>
      </c>
      <c r="M9" s="23">
        <f>-(L13+L15+L16+L17+L18+L19+L20+L21+L22+L23+L25+L26+L27+L28)*('Hypothèses'!$C$41/100)/(1+('Hypothèses'!$C$41/100))*IF('Hypothèses'!$C$42&gt;=0.5,0,1)</f>
        <v>30729.65277777778101</v>
      </c>
      <c r="N9" s="23">
        <f>-(M13+M15+M16+M17+M18+M19+M20+M21+M22+M23+M25+M26+M27+M28)*('Hypothèses'!$C$41/100)/(1+('Hypothèses'!$C$41/100))*IF('Hypothèses'!$C$42&gt;=0.5,0,1)</f>
        <v>30729.65277777778101</v>
      </c>
      <c r="O9" s="23">
        <f>-(N13+N15+N16+N17+N18+N19+N20+N21+N22+N23+N25+N26+N27+N28)*('Hypothèses'!$C$41/100)/(1+('Hypothèses'!$C$41/100))*IF('Hypothèses'!$C$42&gt;=0.5,0,1)</f>
        <v>30729.65277777778101</v>
      </c>
      <c r="P9" s="23">
        <f>-(O13+O15+O16+O17+O18+O19+O20+O21+O22+O23+O25+O26+O27+O28)*('Hypothèses'!$C$41/100)/(1+('Hypothèses'!$C$41/100))*IF('Hypothèses'!$C$42&gt;=0.5,0,1)</f>
        <v>30729.65277777778101</v>
      </c>
      <c r="Q9" s="23">
        <f>-(P13+P15+P16+P17+P18+P19+P20+P21+P22+P23+P25+P26+P27+P28)*('Hypothèses'!$C$41/100)/(1+('Hypothèses'!$C$41/100))*IF('Hypothèses'!$C$42&gt;=0.5,0,1)</f>
        <v>30729.65277777778101</v>
      </c>
      <c r="R9" s="23">
        <f>-(Q13+Q15+Q16+Q17+Q18+Q19+Q20+Q21+Q22+Q23+Q25+Q26+Q27+Q28)*('Hypothèses'!$C$41/100)/(1+('Hypothèses'!$C$41/100))*IF('Hypothèses'!$C$42&gt;=0.5,0,1)</f>
        <v>29076.875</v>
      </c>
      <c r="S9" s="23">
        <f>-(R13+R15+R16+R17+R18+R19+R20+R21+R22+R23+R25+R26+R27+R28)*('Hypothèses'!$C$41/100)/(1+('Hypothèses'!$C$41/100))*IF('Hypothèses'!$C$42&gt;=0.5,0,1)</f>
        <v>29076.875</v>
      </c>
      <c r="T9" s="23">
        <f>-(S13+S15+S16+S17+S18+S19+S20+S21+S22+S23+S25+S26+S27+S28)*('Hypothèses'!$C$41/100)/(1+('Hypothèses'!$C$41/100))*IF('Hypothèses'!$C$42&gt;=0.5,0,1)</f>
        <v>32410.20833333333576</v>
      </c>
      <c r="U9" s="23">
        <f>-(T13+T15+T16+T17+T18+T19+T20+T21+T22+T23+T25+T26+T27+T28)*('Hypothèses'!$C$41/100)/(1+('Hypothèses'!$C$41/100))*IF('Hypothèses'!$C$42&gt;=0.5,0,1)</f>
        <v>42021.31944444444525</v>
      </c>
      <c r="V9" s="23">
        <f>-(U13+U15+U16+U17+U18+U19+U20+U21+U22+U23+U25+U26+U27+U28)*('Hypothèses'!$C$41/100)/(1+('Hypothèses'!$C$41/100))*IF('Hypothèses'!$C$42&gt;=0.5,0,1)</f>
        <v>47437.98611111110949</v>
      </c>
      <c r="W9" s="23">
        <f>-(V13+V15+V16+V17+V18+V19+V20+V21+V22+V23+V25+V26+V27+V28)*('Hypothèses'!$C$41/100)/(1+('Hypothèses'!$C$41/100))*IF('Hypothèses'!$C$42&gt;=0.5,0,1)</f>
        <v>62104.65277777777374</v>
      </c>
      <c r="X9" s="23">
        <f>-(W13+W15+W16+W17+W18+W19+W20+W21+W22+W23+W25+W26+W27+W28)*('Hypothèses'!$C$41/100)/(1+('Hypothèses'!$C$41/100))*IF('Hypothèses'!$C$42&gt;=0.5,0,1)</f>
        <v>20616.66666666666788</v>
      </c>
      <c r="Y9" s="23">
        <f>-(X13+X15+X16+X17+X18+X19+X20+X21+X22+X23+X25+X26+X27+X28)*('Hypothèses'!$C$41/100)/(1+('Hypothèses'!$C$41/100))*IF('Hypothèses'!$C$42&gt;=0.5,0,1)</f>
        <v>2616.66666666666697</v>
      </c>
      <c r="Z9" s="23">
        <f>-(Y13+Y15+Y16+Y17+Y18+Y19+Y20+Y21+Y22+Y23+Y25+Y26+Y27+Y28)*('Hypothèses'!$C$41/100)/(1+('Hypothèses'!$C$41/100))*IF('Hypothèses'!$C$42&gt;=0.5,0,1)</f>
        <v>0</v>
      </c>
      <c r="AA9" s="23">
        <f>-(Z13+Z15+Z16+Z17+Z18+Z19+Z20+Z21+Z22+Z23+Z25+Z26+Z27+Z28)*('Hypothèses'!$C$41/100)/(1+('Hypothèses'!$C$41/100))*IF('Hypothèses'!$C$42&gt;=0.5,0,1)</f>
        <v>0</v>
      </c>
      <c r="AB9" s="23">
        <f>-(AA13+AA15+AA16+AA17+AA18+AA19+AA20+AA21+AA22+AA23+AA25+AA26+AA27+AA28)*('Hypothèses'!$C$41/100)/(1+('Hypothèses'!$C$41/100))*IF('Hypothèses'!$C$42&gt;=0.5,0,1)</f>
        <v>0</v>
      </c>
      <c r="AC9" s="23">
        <f>-(AB13+AB15+AB16+AB17+AB18+AB19+AB20+AB21+AB22+AB23+AB25+AB26+AB27+AB28)*('Hypothèses'!$C$41/100)/(1+('Hypothèses'!$C$41/100))*IF('Hypothèses'!$C$42&gt;=0.5,0,1)</f>
        <v>0</v>
      </c>
      <c r="AD9" s="23">
        <f>-(AC13+AC15+AC16+AC17+AC18+AC19+AC20+AC21+AC22+AC23+AC25+AC26+AC27+AC28)*('Hypothèses'!$C$41/100)/(1+('Hypothèses'!$C$41/100))*IF('Hypothèses'!$C$42&gt;=0.5,0,1)</f>
        <v>0</v>
      </c>
      <c r="AE9" s="23">
        <f>-(AD13+AD15+AD16+AD17+AD18+AD19+AD20+AD21+AD22+AD23+AD25+AD26+AD27+AD28)*('Hypothèses'!$C$41/100)/(1+('Hypothèses'!$C$41/100))*IF('Hypothèses'!$C$42&gt;=0.5,0,1)</f>
        <v>0</v>
      </c>
      <c r="AF9" s="23">
        <f>-(AE13+AE15+AE16+AE17+AE18+AE19+AE20+AE21+AE22+AE23+AE25+AE26+AE27+AE28)*('Hypothèses'!$C$41/100)/(1+('Hypothèses'!$C$41/100))*IF('Hypothèses'!$C$42&gt;=0.5,0,1)</f>
        <v>0</v>
      </c>
      <c r="AG9" s="23">
        <f>-(AF13+AF15+AF16+AF17+AF18+AF19+AF20+AF21+AF22+AF23+AF25+AF26+AF27+AF28)*('Hypothèses'!$C$41/100)/(1+('Hypothèses'!$C$41/100))*IF('Hypothèses'!$C$42&gt;=0.5,0,1)</f>
        <v>0</v>
      </c>
      <c r="AH9" s="23">
        <f>-(AG13+AG15+AG16+AG17+AG18+AG19+AG20+AG21+AG22+AG23+AG25+AG26+AG27+AG28)*('Hypothèses'!$C$41/100)/(1+('Hypothèses'!$C$41/100))*IF('Hypothèses'!$C$42&gt;=0.5,0,1)</f>
        <v>0</v>
      </c>
      <c r="AI9" s="23">
        <f>-(AH13+AH15+AH16+AH17+AH18+AH19+AH20+AH21+AH22+AH23+AH25+AH26+AH27+AH28)*('Hypothèses'!$C$41/100)/(1+('Hypothèses'!$C$41/100))*IF('Hypothèses'!$C$42&gt;=0.5,0,1)</f>
        <v>0</v>
      </c>
      <c r="AJ9" s="23">
        <f>-(AI13+AI15+AI16+AI17+AI18+AI19+AI20+AI21+AI22+AI23+AI25+AI26+AI27+AI28)*('Hypothèses'!$C$41/100)/(1+('Hypothèses'!$C$41/100))*IF('Hypothèses'!$C$42&gt;=0.5,0,1)</f>
        <v>0</v>
      </c>
      <c r="AK9" s="23">
        <f>-(AJ13+AJ15+AJ16+AJ17+AJ18+AJ19+AJ20+AJ21+AJ22+AJ23+AJ25+AJ26+AJ27+AJ28)*('Hypothèses'!$C$41/100)/(1+('Hypothèses'!$C$41/100))*IF('Hypothèses'!$C$42&gt;=0.5,0,1)</f>
        <v>0</v>
      </c>
      <c r="AL9" s="23">
        <f>-(AK13+AK15+AK16+AK17+AK18+AK19+AK20+AK21+AK22+AK23+AK25+AK26+AK27+AK28)*('Hypothèses'!$C$41/100)/(1+('Hypothèses'!$C$41/100))*IF('Hypothèses'!$C$42&gt;=0.5,0,1)</f>
        <v>0</v>
      </c>
      <c r="AM9" s="23">
        <f>-(AL13+AL15+AL16+AL17+AL18+AL19+AL20+AL21+AL22+AL23+AL25+AL26+AL27+AL28)*('Hypothèses'!$C$41/100)/(1+('Hypothèses'!$C$41/100))*IF('Hypothèses'!$C$42&gt;=0.5,0,1)</f>
        <v>0</v>
      </c>
      <c r="AN9" s="23">
        <f>-(AM13+AM15+AM16+AM17+AM18+AM19+AM20+AM21+AM22+AM23+AM25+AM26+AM27+AM28)*('Hypothèses'!$C$41/100)/(1+('Hypothèses'!$C$41/100))*IF('Hypothèses'!$C$42&gt;=0.5,0,1)</f>
        <v>0</v>
      </c>
    </row>
    <row r="10" spans="1:40">
      <c r="B10" s="27"/>
      <c r="C10" s="27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0">
      <c r="A11" s="4" t="s">
        <v>229</v>
      </c>
      <c r="B11" s="28"/>
      <c r="C11" s="28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>
      <c r="A12" t="s">
        <v>154</v>
      </c>
      <c r="B12" s="26">
        <v>1</v>
      </c>
      <c r="C12" s="26">
        <v>1</v>
      </c>
      <c r="D12" s="23">
        <f>Bilan!B6</f>
        <v>1913000</v>
      </c>
      <c r="E12" s="23">
        <f>IF(AND(1&gt;=$B12,1&lt;=$C12),-$D12/($C12-$B12+1),0)</f>
        <v>-1913000</v>
      </c>
      <c r="F12" s="23">
        <f>IF(AND(2&gt;=$B12,2&lt;=$C12),-$D12/($C12-$B12+1),0)</f>
        <v>0</v>
      </c>
      <c r="G12" s="23">
        <f>IF(AND(3&gt;=$B12,3&lt;=$C12),-$D12/($C12-$B12+1),0)</f>
        <v>0</v>
      </c>
      <c r="H12" s="23">
        <f>IF(AND(4&gt;=$B12,4&lt;=$C12),-$D12/($C12-$B12+1),0)</f>
        <v>0</v>
      </c>
      <c r="I12" s="23">
        <f>IF(AND(5&gt;=$B12,5&lt;=$C12),-$D12/($C12-$B12+1),0)</f>
        <v>0</v>
      </c>
      <c r="J12" s="23">
        <f>IF(AND(6&gt;=$B12,6&lt;=$C12),-$D12/($C12-$B12+1),0)</f>
        <v>0</v>
      </c>
      <c r="K12" s="23">
        <f>IF(AND(7&gt;=$B12,7&lt;=$C12),-$D12/($C12-$B12+1),0)</f>
        <v>0</v>
      </c>
      <c r="L12" s="23">
        <f>IF(AND(8&gt;=$B12,8&lt;=$C12),-$D12/($C12-$B12+1),0)</f>
        <v>0</v>
      </c>
      <c r="M12" s="23">
        <f>IF(AND(9&gt;=$B12,9&lt;=$C12),-$D12/($C12-$B12+1),0)</f>
        <v>0</v>
      </c>
      <c r="N12" s="23">
        <f>IF(AND(10&gt;=$B12,10&lt;=$C12),-$D12/($C12-$B12+1),0)</f>
        <v>0</v>
      </c>
      <c r="O12" s="23">
        <f>IF(AND(11&gt;=$B12,11&lt;=$C12),-$D12/($C12-$B12+1),0)</f>
        <v>0</v>
      </c>
      <c r="P12" s="23">
        <f>IF(AND(12&gt;=$B12,12&lt;=$C12),-$D12/($C12-$B12+1),0)</f>
        <v>0</v>
      </c>
      <c r="Q12" s="23">
        <f>IF(AND(13&gt;=$B12,13&lt;=$C12),-$D12/($C12-$B12+1),0)</f>
        <v>0</v>
      </c>
      <c r="R12" s="23">
        <f>IF(AND(14&gt;=$B12,14&lt;=$C12),-$D12/($C12-$B12+1),0)</f>
        <v>0</v>
      </c>
      <c r="S12" s="23">
        <f>IF(AND(15&gt;=$B12,15&lt;=$C12),-$D12/($C12-$B12+1),0)</f>
        <v>0</v>
      </c>
      <c r="T12" s="23">
        <f>IF(AND(16&gt;=$B12,16&lt;=$C12),-$D12/($C12-$B12+1),0)</f>
        <v>0</v>
      </c>
      <c r="U12" s="23">
        <f>IF(AND(17&gt;=$B12,17&lt;=$C12),-$D12/($C12-$B12+1),0)</f>
        <v>0</v>
      </c>
      <c r="V12" s="23">
        <f>IF(AND(18&gt;=$B12,18&lt;=$C12),-$D12/($C12-$B12+1),0)</f>
        <v>0</v>
      </c>
      <c r="W12" s="23">
        <f>IF(AND(19&gt;=$B12,19&lt;=$C12),-$D12/($C12-$B12+1),0)</f>
        <v>0</v>
      </c>
      <c r="X12" s="23">
        <f>IF(AND(20&gt;=$B12,20&lt;=$C12),-$D12/($C12-$B12+1),0)</f>
        <v>0</v>
      </c>
      <c r="Y12" s="23">
        <f>IF(AND(21&gt;=$B12,21&lt;=$C12),-$D12/($C12-$B12+1),0)</f>
        <v>0</v>
      </c>
      <c r="Z12" s="23">
        <f>IF(AND(22&gt;=$B12,22&lt;=$C12),-$D12/($C12-$B12+1),0)</f>
        <v>0</v>
      </c>
      <c r="AA12" s="23">
        <f>IF(AND(23&gt;=$B12,23&lt;=$C12),-$D12/($C12-$B12+1),0)</f>
        <v>0</v>
      </c>
      <c r="AB12" s="23">
        <f>IF(AND(24&gt;=$B12,24&lt;=$C12),-$D12/($C12-$B12+1),0)</f>
        <v>0</v>
      </c>
      <c r="AC12" s="23">
        <f>IF(AND(25&gt;=$B12,25&lt;=$C12),-$D12/($C12-$B12+1),0)</f>
        <v>0</v>
      </c>
      <c r="AD12" s="23">
        <f>IF(AND(26&gt;=$B12,26&lt;=$C12),-$D12/($C12-$B12+1),0)</f>
        <v>0</v>
      </c>
      <c r="AE12" s="23">
        <f>IF(AND(27&gt;=$B12,27&lt;=$C12),-$D12/($C12-$B12+1),0)</f>
        <v>0</v>
      </c>
      <c r="AF12" s="23">
        <f>IF(AND(28&gt;=$B12,28&lt;=$C12),-$D12/($C12-$B12+1),0)</f>
        <v>0</v>
      </c>
      <c r="AG12" s="23">
        <f>IF(AND(29&gt;=$B12,29&lt;=$C12),-$D12/($C12-$B12+1),0)</f>
        <v>0</v>
      </c>
      <c r="AH12" s="23">
        <f>IF(AND(30&gt;=$B12,30&lt;=$C12),-$D12/($C12-$B12+1),0)</f>
        <v>0</v>
      </c>
      <c r="AI12" s="23">
        <f>IF(AND(31&gt;=$B12,31&lt;=$C12),-$D12/($C12-$B12+1),0)</f>
        <v>0</v>
      </c>
      <c r="AJ12" s="23">
        <f>IF(AND(32&gt;=$B12,32&lt;=$C12),-$D12/($C12-$B12+1),0)</f>
        <v>0</v>
      </c>
      <c r="AK12" s="23">
        <f>IF(AND(33&gt;=$B12,33&lt;=$C12),-$D12/($C12-$B12+1),0)</f>
        <v>0</v>
      </c>
      <c r="AL12" s="23">
        <f>IF(AND(34&gt;=$B12,34&lt;=$C12),-$D12/($C12-$B12+1),0)</f>
        <v>0</v>
      </c>
      <c r="AM12" s="23">
        <f>IF(AND(35&gt;=$B12,35&lt;=$C12),-$D12/($C12-$B12+1),0)</f>
        <v>0</v>
      </c>
      <c r="AN12" s="23">
        <f>IF(AND(36&gt;=$B12,36&lt;=$C12),-$D12/($C12-$B12+1),0)</f>
        <v>0</v>
      </c>
    </row>
    <row r="13" spans="1:40">
      <c r="A13" t="s">
        <v>156</v>
      </c>
      <c r="B13" s="26">
        <v>1</v>
      </c>
      <c r="C13" s="26">
        <v>1</v>
      </c>
      <c r="D13" s="23">
        <f>Bilan!B7</f>
        <v>80000</v>
      </c>
      <c r="E13" s="23">
        <f>IF(AND(1&gt;=$B13,1&lt;=$C13),-$D13/($C13-$B13+1),0)</f>
        <v>-80000</v>
      </c>
      <c r="F13" s="23">
        <f>IF(AND(2&gt;=$B13,2&lt;=$C13),-$D13/($C13-$B13+1),0)</f>
        <v>0</v>
      </c>
      <c r="G13" s="23">
        <f>IF(AND(3&gt;=$B13,3&lt;=$C13),-$D13/($C13-$B13+1),0)</f>
        <v>0</v>
      </c>
      <c r="H13" s="23">
        <f>IF(AND(4&gt;=$B13,4&lt;=$C13),-$D13/($C13-$B13+1),0)</f>
        <v>0</v>
      </c>
      <c r="I13" s="23">
        <f>IF(AND(5&gt;=$B13,5&lt;=$C13),-$D13/($C13-$B13+1),0)</f>
        <v>0</v>
      </c>
      <c r="J13" s="23">
        <f>IF(AND(6&gt;=$B13,6&lt;=$C13),-$D13/($C13-$B13+1),0)</f>
        <v>0</v>
      </c>
      <c r="K13" s="23">
        <f>IF(AND(7&gt;=$B13,7&lt;=$C13),-$D13/($C13-$B13+1),0)</f>
        <v>0</v>
      </c>
      <c r="L13" s="23">
        <f>IF(AND(8&gt;=$B13,8&lt;=$C13),-$D13/($C13-$B13+1),0)</f>
        <v>0</v>
      </c>
      <c r="M13" s="23">
        <f>IF(AND(9&gt;=$B13,9&lt;=$C13),-$D13/($C13-$B13+1),0)</f>
        <v>0</v>
      </c>
      <c r="N13" s="23">
        <f>IF(AND(10&gt;=$B13,10&lt;=$C13),-$D13/($C13-$B13+1),0)</f>
        <v>0</v>
      </c>
      <c r="O13" s="23">
        <f>IF(AND(11&gt;=$B13,11&lt;=$C13),-$D13/($C13-$B13+1),0)</f>
        <v>0</v>
      </c>
      <c r="P13" s="23">
        <f>IF(AND(12&gt;=$B13,12&lt;=$C13),-$D13/($C13-$B13+1),0)</f>
        <v>0</v>
      </c>
      <c r="Q13" s="23">
        <f>IF(AND(13&gt;=$B13,13&lt;=$C13),-$D13/($C13-$B13+1),0)</f>
        <v>0</v>
      </c>
      <c r="R13" s="23">
        <f>IF(AND(14&gt;=$B13,14&lt;=$C13),-$D13/($C13-$B13+1),0)</f>
        <v>0</v>
      </c>
      <c r="S13" s="23">
        <f>IF(AND(15&gt;=$B13,15&lt;=$C13),-$D13/($C13-$B13+1),0)</f>
        <v>0</v>
      </c>
      <c r="T13" s="23">
        <f>IF(AND(16&gt;=$B13,16&lt;=$C13),-$D13/($C13-$B13+1),0)</f>
        <v>0</v>
      </c>
      <c r="U13" s="23">
        <f>IF(AND(17&gt;=$B13,17&lt;=$C13),-$D13/($C13-$B13+1),0)</f>
        <v>0</v>
      </c>
      <c r="V13" s="23">
        <f>IF(AND(18&gt;=$B13,18&lt;=$C13),-$D13/($C13-$B13+1),0)</f>
        <v>0</v>
      </c>
      <c r="W13" s="23">
        <f>IF(AND(19&gt;=$B13,19&lt;=$C13),-$D13/($C13-$B13+1),0)</f>
        <v>0</v>
      </c>
      <c r="X13" s="23">
        <f>IF(AND(20&gt;=$B13,20&lt;=$C13),-$D13/($C13-$B13+1),0)</f>
        <v>0</v>
      </c>
      <c r="Y13" s="23">
        <f>IF(AND(21&gt;=$B13,21&lt;=$C13),-$D13/($C13-$B13+1),0)</f>
        <v>0</v>
      </c>
      <c r="Z13" s="23">
        <f>IF(AND(22&gt;=$B13,22&lt;=$C13),-$D13/($C13-$B13+1),0)</f>
        <v>0</v>
      </c>
      <c r="AA13" s="23">
        <f>IF(AND(23&gt;=$B13,23&lt;=$C13),-$D13/($C13-$B13+1),0)</f>
        <v>0</v>
      </c>
      <c r="AB13" s="23">
        <f>IF(AND(24&gt;=$B13,24&lt;=$C13),-$D13/($C13-$B13+1),0)</f>
        <v>0</v>
      </c>
      <c r="AC13" s="23">
        <f>IF(AND(25&gt;=$B13,25&lt;=$C13),-$D13/($C13-$B13+1),0)</f>
        <v>0</v>
      </c>
      <c r="AD13" s="23">
        <f>IF(AND(26&gt;=$B13,26&lt;=$C13),-$D13/($C13-$B13+1),0)</f>
        <v>0</v>
      </c>
      <c r="AE13" s="23">
        <f>IF(AND(27&gt;=$B13,27&lt;=$C13),-$D13/($C13-$B13+1),0)</f>
        <v>0</v>
      </c>
      <c r="AF13" s="23">
        <f>IF(AND(28&gt;=$B13,28&lt;=$C13),-$D13/($C13-$B13+1),0)</f>
        <v>0</v>
      </c>
      <c r="AG13" s="23">
        <f>IF(AND(29&gt;=$B13,29&lt;=$C13),-$D13/($C13-$B13+1),0)</f>
        <v>0</v>
      </c>
      <c r="AH13" s="23">
        <f>IF(AND(30&gt;=$B13,30&lt;=$C13),-$D13/($C13-$B13+1),0)</f>
        <v>0</v>
      </c>
      <c r="AI13" s="23">
        <f>IF(AND(31&gt;=$B13,31&lt;=$C13),-$D13/($C13-$B13+1),0)</f>
        <v>0</v>
      </c>
      <c r="AJ13" s="23">
        <f>IF(AND(32&gt;=$B13,32&lt;=$C13),-$D13/($C13-$B13+1),0)</f>
        <v>0</v>
      </c>
      <c r="AK13" s="23">
        <f>IF(AND(33&gt;=$B13,33&lt;=$C13),-$D13/($C13-$B13+1),0)</f>
        <v>0</v>
      </c>
      <c r="AL13" s="23">
        <f>IF(AND(34&gt;=$B13,34&lt;=$C13),-$D13/($C13-$B13+1),0)</f>
        <v>0</v>
      </c>
      <c r="AM13" s="23">
        <f>IF(AND(35&gt;=$B13,35&lt;=$C13),-$D13/($C13-$B13+1),0)</f>
        <v>0</v>
      </c>
      <c r="AN13" s="23">
        <f>IF(AND(36&gt;=$B13,36&lt;=$C13),-$D13/($C13-$B13+1),0)</f>
        <v>0</v>
      </c>
    </row>
    <row r="14" spans="1:40">
      <c r="A14" t="s">
        <v>105</v>
      </c>
      <c r="B14" s="26">
        <v>1</v>
      </c>
      <c r="C14" s="26">
        <v>1</v>
      </c>
      <c r="D14" s="23">
        <f>Bilan!B8</f>
        <v>19000</v>
      </c>
      <c r="E14" s="23">
        <f>IF(AND(1&gt;=$B14,1&lt;=$C14),-$D14/($C14-$B14+1),0)</f>
        <v>-19000</v>
      </c>
      <c r="F14" s="23">
        <f>IF(AND(2&gt;=$B14,2&lt;=$C14),-$D14/($C14-$B14+1),0)</f>
        <v>0</v>
      </c>
      <c r="G14" s="23">
        <f>IF(AND(3&gt;=$B14,3&lt;=$C14),-$D14/($C14-$B14+1),0)</f>
        <v>0</v>
      </c>
      <c r="H14" s="23">
        <f>IF(AND(4&gt;=$B14,4&lt;=$C14),-$D14/($C14-$B14+1),0)</f>
        <v>0</v>
      </c>
      <c r="I14" s="23">
        <f>IF(AND(5&gt;=$B14,5&lt;=$C14),-$D14/($C14-$B14+1),0)</f>
        <v>0</v>
      </c>
      <c r="J14" s="23">
        <f>IF(AND(6&gt;=$B14,6&lt;=$C14),-$D14/($C14-$B14+1),0)</f>
        <v>0</v>
      </c>
      <c r="K14" s="23">
        <f>IF(AND(7&gt;=$B14,7&lt;=$C14),-$D14/($C14-$B14+1),0)</f>
        <v>0</v>
      </c>
      <c r="L14" s="23">
        <f>IF(AND(8&gt;=$B14,8&lt;=$C14),-$D14/($C14-$B14+1),0)</f>
        <v>0</v>
      </c>
      <c r="M14" s="23">
        <f>IF(AND(9&gt;=$B14,9&lt;=$C14),-$D14/($C14-$B14+1),0)</f>
        <v>0</v>
      </c>
      <c r="N14" s="23">
        <f>IF(AND(10&gt;=$B14,10&lt;=$C14),-$D14/($C14-$B14+1),0)</f>
        <v>0</v>
      </c>
      <c r="O14" s="23">
        <f>IF(AND(11&gt;=$B14,11&lt;=$C14),-$D14/($C14-$B14+1),0)</f>
        <v>0</v>
      </c>
      <c r="P14" s="23">
        <f>IF(AND(12&gt;=$B14,12&lt;=$C14),-$D14/($C14-$B14+1),0)</f>
        <v>0</v>
      </c>
      <c r="Q14" s="23">
        <f>IF(AND(13&gt;=$B14,13&lt;=$C14),-$D14/($C14-$B14+1),0)</f>
        <v>0</v>
      </c>
      <c r="R14" s="23">
        <f>IF(AND(14&gt;=$B14,14&lt;=$C14),-$D14/($C14-$B14+1),0)</f>
        <v>0</v>
      </c>
      <c r="S14" s="23">
        <f>IF(AND(15&gt;=$B14,15&lt;=$C14),-$D14/($C14-$B14+1),0)</f>
        <v>0</v>
      </c>
      <c r="T14" s="23">
        <f>IF(AND(16&gt;=$B14,16&lt;=$C14),-$D14/($C14-$B14+1),0)</f>
        <v>0</v>
      </c>
      <c r="U14" s="23">
        <f>IF(AND(17&gt;=$B14,17&lt;=$C14),-$D14/($C14-$B14+1),0)</f>
        <v>0</v>
      </c>
      <c r="V14" s="23">
        <f>IF(AND(18&gt;=$B14,18&lt;=$C14),-$D14/($C14-$B14+1),0)</f>
        <v>0</v>
      </c>
      <c r="W14" s="23">
        <f>IF(AND(19&gt;=$B14,19&lt;=$C14),-$D14/($C14-$B14+1),0)</f>
        <v>0</v>
      </c>
      <c r="X14" s="23">
        <f>IF(AND(20&gt;=$B14,20&lt;=$C14),-$D14/($C14-$B14+1),0)</f>
        <v>0</v>
      </c>
      <c r="Y14" s="23">
        <f>IF(AND(21&gt;=$B14,21&lt;=$C14),-$D14/($C14-$B14+1),0)</f>
        <v>0</v>
      </c>
      <c r="Z14" s="23">
        <f>IF(AND(22&gt;=$B14,22&lt;=$C14),-$D14/($C14-$B14+1),0)</f>
        <v>0</v>
      </c>
      <c r="AA14" s="23">
        <f>IF(AND(23&gt;=$B14,23&lt;=$C14),-$D14/($C14-$B14+1),0)</f>
        <v>0</v>
      </c>
      <c r="AB14" s="23">
        <f>IF(AND(24&gt;=$B14,24&lt;=$C14),-$D14/($C14-$B14+1),0)</f>
        <v>0</v>
      </c>
      <c r="AC14" s="23">
        <f>IF(AND(25&gt;=$B14,25&lt;=$C14),-$D14/($C14-$B14+1),0)</f>
        <v>0</v>
      </c>
      <c r="AD14" s="23">
        <f>IF(AND(26&gt;=$B14,26&lt;=$C14),-$D14/($C14-$B14+1),0)</f>
        <v>0</v>
      </c>
      <c r="AE14" s="23">
        <f>IF(AND(27&gt;=$B14,27&lt;=$C14),-$D14/($C14-$B14+1),0)</f>
        <v>0</v>
      </c>
      <c r="AF14" s="23">
        <f>IF(AND(28&gt;=$B14,28&lt;=$C14),-$D14/($C14-$B14+1),0)</f>
        <v>0</v>
      </c>
      <c r="AG14" s="23">
        <f>IF(AND(29&gt;=$B14,29&lt;=$C14),-$D14/($C14-$B14+1),0)</f>
        <v>0</v>
      </c>
      <c r="AH14" s="23">
        <f>IF(AND(30&gt;=$B14,30&lt;=$C14),-$D14/($C14-$B14+1),0)</f>
        <v>0</v>
      </c>
      <c r="AI14" s="23">
        <f>IF(AND(31&gt;=$B14,31&lt;=$C14),-$D14/($C14-$B14+1),0)</f>
        <v>0</v>
      </c>
      <c r="AJ14" s="23">
        <f>IF(AND(32&gt;=$B14,32&lt;=$C14),-$D14/($C14-$B14+1),0)</f>
        <v>0</v>
      </c>
      <c r="AK14" s="23">
        <f>IF(AND(33&gt;=$B14,33&lt;=$C14),-$D14/($C14-$B14+1),0)</f>
        <v>0</v>
      </c>
      <c r="AL14" s="23">
        <f>IF(AND(34&gt;=$B14,34&lt;=$C14),-$D14/($C14-$B14+1),0)</f>
        <v>0</v>
      </c>
      <c r="AM14" s="23">
        <f>IF(AND(35&gt;=$B14,35&lt;=$C14),-$D14/($C14-$B14+1),0)</f>
        <v>0</v>
      </c>
      <c r="AN14" s="23">
        <f>IF(AND(36&gt;=$B14,36&lt;=$C14),-$D14/($C14-$B14+1),0)</f>
        <v>0</v>
      </c>
    </row>
    <row r="15" spans="1:40">
      <c r="A15" t="s">
        <v>162</v>
      </c>
      <c r="B15" s="26">
        <v>1</v>
      </c>
      <c r="C15" s="26">
        <v>1</v>
      </c>
      <c r="D15" s="23">
        <f>Bilan!B21</f>
        <v>15000</v>
      </c>
      <c r="E15" s="23">
        <f>IF(AND(1&gt;=$B15,1&lt;=$C15),-$D15/($C15-$B15+1),0)</f>
        <v>-15000</v>
      </c>
      <c r="F15" s="23">
        <f>IF(AND(2&gt;=$B15,2&lt;=$C15),-$D15/($C15-$B15+1),0)</f>
        <v>0</v>
      </c>
      <c r="G15" s="23">
        <f>IF(AND(3&gt;=$B15,3&lt;=$C15),-$D15/($C15-$B15+1),0)</f>
        <v>0</v>
      </c>
      <c r="H15" s="23">
        <f>IF(AND(4&gt;=$B15,4&lt;=$C15),-$D15/($C15-$B15+1),0)</f>
        <v>0</v>
      </c>
      <c r="I15" s="23">
        <f>IF(AND(5&gt;=$B15,5&lt;=$C15),-$D15/($C15-$B15+1),0)</f>
        <v>0</v>
      </c>
      <c r="J15" s="23">
        <f>IF(AND(6&gt;=$B15,6&lt;=$C15),-$D15/($C15-$B15+1),0)</f>
        <v>0</v>
      </c>
      <c r="K15" s="23">
        <f>IF(AND(7&gt;=$B15,7&lt;=$C15),-$D15/($C15-$B15+1),0)</f>
        <v>0</v>
      </c>
      <c r="L15" s="23">
        <f>IF(AND(8&gt;=$B15,8&lt;=$C15),-$D15/($C15-$B15+1),0)</f>
        <v>0</v>
      </c>
      <c r="M15" s="23">
        <f>IF(AND(9&gt;=$B15,9&lt;=$C15),-$D15/($C15-$B15+1),0)</f>
        <v>0</v>
      </c>
      <c r="N15" s="23">
        <f>IF(AND(10&gt;=$B15,10&lt;=$C15),-$D15/($C15-$B15+1),0)</f>
        <v>0</v>
      </c>
      <c r="O15" s="23">
        <f>IF(AND(11&gt;=$B15,11&lt;=$C15),-$D15/($C15-$B15+1),0)</f>
        <v>0</v>
      </c>
      <c r="P15" s="23">
        <f>IF(AND(12&gt;=$B15,12&lt;=$C15),-$D15/($C15-$B15+1),0)</f>
        <v>0</v>
      </c>
      <c r="Q15" s="23">
        <f>IF(AND(13&gt;=$B15,13&lt;=$C15),-$D15/($C15-$B15+1),0)</f>
        <v>0</v>
      </c>
      <c r="R15" s="23">
        <f>IF(AND(14&gt;=$B15,14&lt;=$C15),-$D15/($C15-$B15+1),0)</f>
        <v>0</v>
      </c>
      <c r="S15" s="23">
        <f>IF(AND(15&gt;=$B15,15&lt;=$C15),-$D15/($C15-$B15+1),0)</f>
        <v>0</v>
      </c>
      <c r="T15" s="23">
        <f>IF(AND(16&gt;=$B15,16&lt;=$C15),-$D15/($C15-$B15+1),0)</f>
        <v>0</v>
      </c>
      <c r="U15" s="23">
        <f>IF(AND(17&gt;=$B15,17&lt;=$C15),-$D15/($C15-$B15+1),0)</f>
        <v>0</v>
      </c>
      <c r="V15" s="23">
        <f>IF(AND(18&gt;=$B15,18&lt;=$C15),-$D15/($C15-$B15+1),0)</f>
        <v>0</v>
      </c>
      <c r="W15" s="23">
        <f>IF(AND(19&gt;=$B15,19&lt;=$C15),-$D15/($C15-$B15+1),0)</f>
        <v>0</v>
      </c>
      <c r="X15" s="23">
        <f>IF(AND(20&gt;=$B15,20&lt;=$C15),-$D15/($C15-$B15+1),0)</f>
        <v>0</v>
      </c>
      <c r="Y15" s="23">
        <f>IF(AND(21&gt;=$B15,21&lt;=$C15),-$D15/($C15-$B15+1),0)</f>
        <v>0</v>
      </c>
      <c r="Z15" s="23">
        <f>IF(AND(22&gt;=$B15,22&lt;=$C15),-$D15/($C15-$B15+1),0)</f>
        <v>0</v>
      </c>
      <c r="AA15" s="23">
        <f>IF(AND(23&gt;=$B15,23&lt;=$C15),-$D15/($C15-$B15+1),0)</f>
        <v>0</v>
      </c>
      <c r="AB15" s="23">
        <f>IF(AND(24&gt;=$B15,24&lt;=$C15),-$D15/($C15-$B15+1),0)</f>
        <v>0</v>
      </c>
      <c r="AC15" s="23">
        <f>IF(AND(25&gt;=$B15,25&lt;=$C15),-$D15/($C15-$B15+1),0)</f>
        <v>0</v>
      </c>
      <c r="AD15" s="23">
        <f>IF(AND(26&gt;=$B15,26&lt;=$C15),-$D15/($C15-$B15+1),0)</f>
        <v>0</v>
      </c>
      <c r="AE15" s="23">
        <f>IF(AND(27&gt;=$B15,27&lt;=$C15),-$D15/($C15-$B15+1),0)</f>
        <v>0</v>
      </c>
      <c r="AF15" s="23">
        <f>IF(AND(28&gt;=$B15,28&lt;=$C15),-$D15/($C15-$B15+1),0)</f>
        <v>0</v>
      </c>
      <c r="AG15" s="23">
        <f>IF(AND(29&gt;=$B15,29&lt;=$C15),-$D15/($C15-$B15+1),0)</f>
        <v>0</v>
      </c>
      <c r="AH15" s="23">
        <f>IF(AND(30&gt;=$B15,30&lt;=$C15),-$D15/($C15-$B15+1),0)</f>
        <v>0</v>
      </c>
      <c r="AI15" s="23">
        <f>IF(AND(31&gt;=$B15,31&lt;=$C15),-$D15/($C15-$B15+1),0)</f>
        <v>0</v>
      </c>
      <c r="AJ15" s="23">
        <f>IF(AND(32&gt;=$B15,32&lt;=$C15),-$D15/($C15-$B15+1),0)</f>
        <v>0</v>
      </c>
      <c r="AK15" s="23">
        <f>IF(AND(33&gt;=$B15,33&lt;=$C15),-$D15/($C15-$B15+1),0)</f>
        <v>0</v>
      </c>
      <c r="AL15" s="23">
        <f>IF(AND(34&gt;=$B15,34&lt;=$C15),-$D15/($C15-$B15+1),0)</f>
        <v>0</v>
      </c>
      <c r="AM15" s="23">
        <f>IF(AND(35&gt;=$B15,35&lt;=$C15),-$D15/($C15-$B15+1),0)</f>
        <v>0</v>
      </c>
      <c r="AN15" s="23">
        <f>IF(AND(36&gt;=$B15,36&lt;=$C15),-$D15/($C15-$B15+1),0)</f>
        <v>0</v>
      </c>
    </row>
    <row r="16" spans="1:40">
      <c r="A16" t="s">
        <v>123</v>
      </c>
      <c r="B16" s="26">
        <v>1</v>
      </c>
      <c r="C16" s="26">
        <v>20</v>
      </c>
      <c r="D16" s="23">
        <f>Bilan!B19</f>
        <v>314000</v>
      </c>
      <c r="E16" s="23">
        <f>IF(AND(1&gt;=$B16,1&lt;=$C16),-$D16/($C16-$B16+1),0)</f>
        <v>-15700</v>
      </c>
      <c r="F16" s="23">
        <f>IF(AND(2&gt;=$B16,2&lt;=$C16),-$D16/($C16-$B16+1),0)</f>
        <v>-15700</v>
      </c>
      <c r="G16" s="23">
        <f>IF(AND(3&gt;=$B16,3&lt;=$C16),-$D16/($C16-$B16+1),0)</f>
        <v>-15700</v>
      </c>
      <c r="H16" s="23">
        <f>IF(AND(4&gt;=$B16,4&lt;=$C16),-$D16/($C16-$B16+1),0)</f>
        <v>-15700</v>
      </c>
      <c r="I16" s="23">
        <f>IF(AND(5&gt;=$B16,5&lt;=$C16),-$D16/($C16-$B16+1),0)</f>
        <v>-15700</v>
      </c>
      <c r="J16" s="23">
        <f>IF(AND(6&gt;=$B16,6&lt;=$C16),-$D16/($C16-$B16+1),0)</f>
        <v>-15700</v>
      </c>
      <c r="K16" s="23">
        <f>IF(AND(7&gt;=$B16,7&lt;=$C16),-$D16/($C16-$B16+1),0)</f>
        <v>-15700</v>
      </c>
      <c r="L16" s="23">
        <f>IF(AND(8&gt;=$B16,8&lt;=$C16),-$D16/($C16-$B16+1),0)</f>
        <v>-15700</v>
      </c>
      <c r="M16" s="23">
        <f>IF(AND(9&gt;=$B16,9&lt;=$C16),-$D16/($C16-$B16+1),0)</f>
        <v>-15700</v>
      </c>
      <c r="N16" s="23">
        <f>IF(AND(10&gt;=$B16,10&lt;=$C16),-$D16/($C16-$B16+1),0)</f>
        <v>-15700</v>
      </c>
      <c r="O16" s="23">
        <f>IF(AND(11&gt;=$B16,11&lt;=$C16),-$D16/($C16-$B16+1),0)</f>
        <v>-15700</v>
      </c>
      <c r="P16" s="23">
        <f>IF(AND(12&gt;=$B16,12&lt;=$C16),-$D16/($C16-$B16+1),0)</f>
        <v>-15700</v>
      </c>
      <c r="Q16" s="23">
        <f>IF(AND(13&gt;=$B16,13&lt;=$C16),-$D16/($C16-$B16+1),0)</f>
        <v>-15700</v>
      </c>
      <c r="R16" s="23">
        <f>IF(AND(14&gt;=$B16,14&lt;=$C16),-$D16/($C16-$B16+1),0)</f>
        <v>-15700</v>
      </c>
      <c r="S16" s="23">
        <f>IF(AND(15&gt;=$B16,15&lt;=$C16),-$D16/($C16-$B16+1),0)</f>
        <v>-15700</v>
      </c>
      <c r="T16" s="23">
        <f>IF(AND(16&gt;=$B16,16&lt;=$C16),-$D16/($C16-$B16+1),0)</f>
        <v>-15700</v>
      </c>
      <c r="U16" s="23">
        <f>IF(AND(17&gt;=$B16,17&lt;=$C16),-$D16/($C16-$B16+1),0)</f>
        <v>-15700</v>
      </c>
      <c r="V16" s="23">
        <f>IF(AND(18&gt;=$B16,18&lt;=$C16),-$D16/($C16-$B16+1),0)</f>
        <v>-15700</v>
      </c>
      <c r="W16" s="23">
        <f>IF(AND(19&gt;=$B16,19&lt;=$C16),-$D16/($C16-$B16+1),0)</f>
        <v>-15700</v>
      </c>
      <c r="X16" s="23">
        <f>IF(AND(20&gt;=$B16,20&lt;=$C16),-$D16/($C16-$B16+1),0)</f>
        <v>-15700</v>
      </c>
      <c r="Y16" s="23">
        <f>IF(AND(21&gt;=$B16,21&lt;=$C16),-$D16/($C16-$B16+1),0)</f>
        <v>0</v>
      </c>
      <c r="Z16" s="23">
        <f>IF(AND(22&gt;=$B16,22&lt;=$C16),-$D16/($C16-$B16+1),0)</f>
        <v>0</v>
      </c>
      <c r="AA16" s="23">
        <f>IF(AND(23&gt;=$B16,23&lt;=$C16),-$D16/($C16-$B16+1),0)</f>
        <v>0</v>
      </c>
      <c r="AB16" s="23">
        <f>IF(AND(24&gt;=$B16,24&lt;=$C16),-$D16/($C16-$B16+1),0)</f>
        <v>0</v>
      </c>
      <c r="AC16" s="23">
        <f>IF(AND(25&gt;=$B16,25&lt;=$C16),-$D16/($C16-$B16+1),0)</f>
        <v>0</v>
      </c>
      <c r="AD16" s="23">
        <f>IF(AND(26&gt;=$B16,26&lt;=$C16),-$D16/($C16-$B16+1),0)</f>
        <v>0</v>
      </c>
      <c r="AE16" s="23">
        <f>IF(AND(27&gt;=$B16,27&lt;=$C16),-$D16/($C16-$B16+1),0)</f>
        <v>0</v>
      </c>
      <c r="AF16" s="23">
        <f>IF(AND(28&gt;=$B16,28&lt;=$C16),-$D16/($C16-$B16+1),0)</f>
        <v>0</v>
      </c>
      <c r="AG16" s="23">
        <f>IF(AND(29&gt;=$B16,29&lt;=$C16),-$D16/($C16-$B16+1),0)</f>
        <v>0</v>
      </c>
      <c r="AH16" s="23">
        <f>IF(AND(30&gt;=$B16,30&lt;=$C16),-$D16/($C16-$B16+1),0)</f>
        <v>0</v>
      </c>
      <c r="AI16" s="23">
        <f>IF(AND(31&gt;=$B16,31&lt;=$C16),-$D16/($C16-$B16+1),0)</f>
        <v>0</v>
      </c>
      <c r="AJ16" s="23">
        <f>IF(AND(32&gt;=$B16,32&lt;=$C16),-$D16/($C16-$B16+1),0)</f>
        <v>0</v>
      </c>
      <c r="AK16" s="23">
        <f>IF(AND(33&gt;=$B16,33&lt;=$C16),-$D16/($C16-$B16+1),0)</f>
        <v>0</v>
      </c>
      <c r="AL16" s="23">
        <f>IF(AND(34&gt;=$B16,34&lt;=$C16),-$D16/($C16-$B16+1),0)</f>
        <v>0</v>
      </c>
      <c r="AM16" s="23">
        <f>IF(AND(35&gt;=$B16,35&lt;=$C16),-$D16/($C16-$B16+1),0)</f>
        <v>0</v>
      </c>
      <c r="AN16" s="23">
        <f>IF(AND(36&gt;=$B16,36&lt;=$C16),-$D16/($C16-$B16+1),0)</f>
        <v>0</v>
      </c>
    </row>
    <row r="17" spans="1:40">
      <c r="A17" t="s">
        <v>124</v>
      </c>
      <c r="B17" s="26">
        <v>1</v>
      </c>
      <c r="C17" s="26">
        <v>12</v>
      </c>
      <c r="D17" s="23">
        <f>Bilan!B20</f>
        <v>119000</v>
      </c>
      <c r="E17" s="23">
        <f>IF(AND(1&gt;=$B17,1&lt;=$C17),-$D17/($C17-$B17+1),0)</f>
        <v>-9916.66666666666606</v>
      </c>
      <c r="F17" s="23">
        <f>IF(AND(2&gt;=$B17,2&lt;=$C17),-$D17/($C17-$B17+1),0)</f>
        <v>-9916.66666666666606</v>
      </c>
      <c r="G17" s="23">
        <f>IF(AND(3&gt;=$B17,3&lt;=$C17),-$D17/($C17-$B17+1),0)</f>
        <v>-9916.66666666666606</v>
      </c>
      <c r="H17" s="23">
        <f>IF(AND(4&gt;=$B17,4&lt;=$C17),-$D17/($C17-$B17+1),0)</f>
        <v>-9916.66666666666606</v>
      </c>
      <c r="I17" s="23">
        <f>IF(AND(5&gt;=$B17,5&lt;=$C17),-$D17/($C17-$B17+1),0)</f>
        <v>-9916.66666666666606</v>
      </c>
      <c r="J17" s="23">
        <f>IF(AND(6&gt;=$B17,6&lt;=$C17),-$D17/($C17-$B17+1),0)</f>
        <v>-9916.66666666666606</v>
      </c>
      <c r="K17" s="23">
        <f>IF(AND(7&gt;=$B17,7&lt;=$C17),-$D17/($C17-$B17+1),0)</f>
        <v>-9916.66666666666606</v>
      </c>
      <c r="L17" s="23">
        <f>IF(AND(8&gt;=$B17,8&lt;=$C17),-$D17/($C17-$B17+1),0)</f>
        <v>-9916.66666666666606</v>
      </c>
      <c r="M17" s="23">
        <f>IF(AND(9&gt;=$B17,9&lt;=$C17),-$D17/($C17-$B17+1),0)</f>
        <v>-9916.66666666666606</v>
      </c>
      <c r="N17" s="23">
        <f>IF(AND(10&gt;=$B17,10&lt;=$C17),-$D17/($C17-$B17+1),0)</f>
        <v>-9916.66666666666606</v>
      </c>
      <c r="O17" s="23">
        <f>IF(AND(11&gt;=$B17,11&lt;=$C17),-$D17/($C17-$B17+1),0)</f>
        <v>-9916.66666666666606</v>
      </c>
      <c r="P17" s="23">
        <f>IF(AND(12&gt;=$B17,12&lt;=$C17),-$D17/($C17-$B17+1),0)</f>
        <v>-9916.66666666666606</v>
      </c>
      <c r="Q17" s="23">
        <f>IF(AND(13&gt;=$B17,13&lt;=$C17),-$D17/($C17-$B17+1),0)</f>
        <v>0</v>
      </c>
      <c r="R17" s="23">
        <f>IF(AND(14&gt;=$B17,14&lt;=$C17),-$D17/($C17-$B17+1),0)</f>
        <v>0</v>
      </c>
      <c r="S17" s="23">
        <f>IF(AND(15&gt;=$B17,15&lt;=$C17),-$D17/($C17-$B17+1),0)</f>
        <v>0</v>
      </c>
      <c r="T17" s="23">
        <f>IF(AND(16&gt;=$B17,16&lt;=$C17),-$D17/($C17-$B17+1),0)</f>
        <v>0</v>
      </c>
      <c r="U17" s="23">
        <f>IF(AND(17&gt;=$B17,17&lt;=$C17),-$D17/($C17-$B17+1),0)</f>
        <v>0</v>
      </c>
      <c r="V17" s="23">
        <f>IF(AND(18&gt;=$B17,18&lt;=$C17),-$D17/($C17-$B17+1),0)</f>
        <v>0</v>
      </c>
      <c r="W17" s="23">
        <f>IF(AND(19&gt;=$B17,19&lt;=$C17),-$D17/($C17-$B17+1),0)</f>
        <v>0</v>
      </c>
      <c r="X17" s="23">
        <f>IF(AND(20&gt;=$B17,20&lt;=$C17),-$D17/($C17-$B17+1),0)</f>
        <v>0</v>
      </c>
      <c r="Y17" s="23">
        <f>IF(AND(21&gt;=$B17,21&lt;=$C17),-$D17/($C17-$B17+1),0)</f>
        <v>0</v>
      </c>
      <c r="Z17" s="23">
        <f>IF(AND(22&gt;=$B17,22&lt;=$C17),-$D17/($C17-$B17+1),0)</f>
        <v>0</v>
      </c>
      <c r="AA17" s="23">
        <f>IF(AND(23&gt;=$B17,23&lt;=$C17),-$D17/($C17-$B17+1),0)</f>
        <v>0</v>
      </c>
      <c r="AB17" s="23">
        <f>IF(AND(24&gt;=$B17,24&lt;=$C17),-$D17/($C17-$B17+1),0)</f>
        <v>0</v>
      </c>
      <c r="AC17" s="23">
        <f>IF(AND(25&gt;=$B17,25&lt;=$C17),-$D17/($C17-$B17+1),0)</f>
        <v>0</v>
      </c>
      <c r="AD17" s="23">
        <f>IF(AND(26&gt;=$B17,26&lt;=$C17),-$D17/($C17-$B17+1),0)</f>
        <v>0</v>
      </c>
      <c r="AE17" s="23">
        <f>IF(AND(27&gt;=$B17,27&lt;=$C17),-$D17/($C17-$B17+1),0)</f>
        <v>0</v>
      </c>
      <c r="AF17" s="23">
        <f>IF(AND(28&gt;=$B17,28&lt;=$C17),-$D17/($C17-$B17+1),0)</f>
        <v>0</v>
      </c>
      <c r="AG17" s="23">
        <f>IF(AND(29&gt;=$B17,29&lt;=$C17),-$D17/($C17-$B17+1),0)</f>
        <v>0</v>
      </c>
      <c r="AH17" s="23">
        <f>IF(AND(30&gt;=$B17,30&lt;=$C17),-$D17/($C17-$B17+1),0)</f>
        <v>0</v>
      </c>
      <c r="AI17" s="23">
        <f>IF(AND(31&gt;=$B17,31&lt;=$C17),-$D17/($C17-$B17+1),0)</f>
        <v>0</v>
      </c>
      <c r="AJ17" s="23">
        <f>IF(AND(32&gt;=$B17,32&lt;=$C17),-$D17/($C17-$B17+1),0)</f>
        <v>0</v>
      </c>
      <c r="AK17" s="23">
        <f>IF(AND(33&gt;=$B17,33&lt;=$C17),-$D17/($C17-$B17+1),0)</f>
        <v>0</v>
      </c>
      <c r="AL17" s="23">
        <f>IF(AND(34&gt;=$B17,34&lt;=$C17),-$D17/($C17-$B17+1),0)</f>
        <v>0</v>
      </c>
      <c r="AM17" s="23">
        <f>IF(AND(35&gt;=$B17,35&lt;=$C17),-$D17/($C17-$B17+1),0)</f>
        <v>0</v>
      </c>
      <c r="AN17" s="23">
        <f>IF(AND(36&gt;=$B17,36&lt;=$C17),-$D17/($C17-$B17+1),0)</f>
        <v>0</v>
      </c>
    </row>
    <row r="18" spans="1:40">
      <c r="A18" t="s">
        <v>109</v>
      </c>
      <c r="B18" s="26">
        <v>2</v>
      </c>
      <c r="C18" s="26">
        <v>2</v>
      </c>
      <c r="D18" s="23">
        <f>Bilan!B11</f>
        <v>0</v>
      </c>
      <c r="E18" s="23">
        <f>IF(AND(1&gt;=$B18,1&lt;=$C18),-$D18/($C18-$B18+1),0)</f>
        <v>0</v>
      </c>
      <c r="F18" s="23">
        <f>IF(AND(2&gt;=$B18,2&lt;=$C18),-$D18/($C18-$B18+1),0)</f>
        <v>0</v>
      </c>
      <c r="G18" s="23">
        <f>IF(AND(3&gt;=$B18,3&lt;=$C18),-$D18/($C18-$B18+1),0)</f>
        <v>0</v>
      </c>
      <c r="H18" s="23">
        <f>IF(AND(4&gt;=$B18,4&lt;=$C18),-$D18/($C18-$B18+1),0)</f>
        <v>0</v>
      </c>
      <c r="I18" s="23">
        <f>IF(AND(5&gt;=$B18,5&lt;=$C18),-$D18/($C18-$B18+1),0)</f>
        <v>0</v>
      </c>
      <c r="J18" s="23">
        <f>IF(AND(6&gt;=$B18,6&lt;=$C18),-$D18/($C18-$B18+1),0)</f>
        <v>0</v>
      </c>
      <c r="K18" s="23">
        <f>IF(AND(7&gt;=$B18,7&lt;=$C18),-$D18/($C18-$B18+1),0)</f>
        <v>0</v>
      </c>
      <c r="L18" s="23">
        <f>IF(AND(8&gt;=$B18,8&lt;=$C18),-$D18/($C18-$B18+1),0)</f>
        <v>0</v>
      </c>
      <c r="M18" s="23">
        <f>IF(AND(9&gt;=$B18,9&lt;=$C18),-$D18/($C18-$B18+1),0)</f>
        <v>0</v>
      </c>
      <c r="N18" s="23">
        <f>IF(AND(10&gt;=$B18,10&lt;=$C18),-$D18/($C18-$B18+1),0)</f>
        <v>0</v>
      </c>
      <c r="O18" s="23">
        <f>IF(AND(11&gt;=$B18,11&lt;=$C18),-$D18/($C18-$B18+1),0)</f>
        <v>0</v>
      </c>
      <c r="P18" s="23">
        <f>IF(AND(12&gt;=$B18,12&lt;=$C18),-$D18/($C18-$B18+1),0)</f>
        <v>0</v>
      </c>
      <c r="Q18" s="23">
        <f>IF(AND(13&gt;=$B18,13&lt;=$C18),-$D18/($C18-$B18+1),0)</f>
        <v>0</v>
      </c>
      <c r="R18" s="23">
        <f>IF(AND(14&gt;=$B18,14&lt;=$C18),-$D18/($C18-$B18+1),0)</f>
        <v>0</v>
      </c>
      <c r="S18" s="23">
        <f>IF(AND(15&gt;=$B18,15&lt;=$C18),-$D18/($C18-$B18+1),0)</f>
        <v>0</v>
      </c>
      <c r="T18" s="23">
        <f>IF(AND(16&gt;=$B18,16&lt;=$C18),-$D18/($C18-$B18+1),0)</f>
        <v>0</v>
      </c>
      <c r="U18" s="23">
        <f>IF(AND(17&gt;=$B18,17&lt;=$C18),-$D18/($C18-$B18+1),0)</f>
        <v>0</v>
      </c>
      <c r="V18" s="23">
        <f>IF(AND(18&gt;=$B18,18&lt;=$C18),-$D18/($C18-$B18+1),0)</f>
        <v>0</v>
      </c>
      <c r="W18" s="23">
        <f>IF(AND(19&gt;=$B18,19&lt;=$C18),-$D18/($C18-$B18+1),0)</f>
        <v>0</v>
      </c>
      <c r="X18" s="23">
        <f>IF(AND(20&gt;=$B18,20&lt;=$C18),-$D18/($C18-$B18+1),0)</f>
        <v>0</v>
      </c>
      <c r="Y18" s="23">
        <f>IF(AND(21&gt;=$B18,21&lt;=$C18),-$D18/($C18-$B18+1),0)</f>
        <v>0</v>
      </c>
      <c r="Z18" s="23">
        <f>IF(AND(22&gt;=$B18,22&lt;=$C18),-$D18/($C18-$B18+1),0)</f>
        <v>0</v>
      </c>
      <c r="AA18" s="23">
        <f>IF(AND(23&gt;=$B18,23&lt;=$C18),-$D18/($C18-$B18+1),0)</f>
        <v>0</v>
      </c>
      <c r="AB18" s="23">
        <f>IF(AND(24&gt;=$B18,24&lt;=$C18),-$D18/($C18-$B18+1),0)</f>
        <v>0</v>
      </c>
      <c r="AC18" s="23">
        <f>IF(AND(25&gt;=$B18,25&lt;=$C18),-$D18/($C18-$B18+1),0)</f>
        <v>0</v>
      </c>
      <c r="AD18" s="23">
        <f>IF(AND(26&gt;=$B18,26&lt;=$C18),-$D18/($C18-$B18+1),0)</f>
        <v>0</v>
      </c>
      <c r="AE18" s="23">
        <f>IF(AND(27&gt;=$B18,27&lt;=$C18),-$D18/($C18-$B18+1),0)</f>
        <v>0</v>
      </c>
      <c r="AF18" s="23">
        <f>IF(AND(28&gt;=$B18,28&lt;=$C18),-$D18/($C18-$B18+1),0)</f>
        <v>0</v>
      </c>
      <c r="AG18" s="23">
        <f>IF(AND(29&gt;=$B18,29&lt;=$C18),-$D18/($C18-$B18+1),0)</f>
        <v>0</v>
      </c>
      <c r="AH18" s="23">
        <f>IF(AND(30&gt;=$B18,30&lt;=$C18),-$D18/($C18-$B18+1),0)</f>
        <v>0</v>
      </c>
      <c r="AI18" s="23">
        <f>IF(AND(31&gt;=$B18,31&lt;=$C18),-$D18/($C18-$B18+1),0)</f>
        <v>0</v>
      </c>
      <c r="AJ18" s="23">
        <f>IF(AND(32&gt;=$B18,32&lt;=$C18),-$D18/($C18-$B18+1),0)</f>
        <v>0</v>
      </c>
      <c r="AK18" s="23">
        <f>IF(AND(33&gt;=$B18,33&lt;=$C18),-$D18/($C18-$B18+1),0)</f>
        <v>0</v>
      </c>
      <c r="AL18" s="23">
        <f>IF(AND(34&gt;=$B18,34&lt;=$C18),-$D18/($C18-$B18+1),0)</f>
        <v>0</v>
      </c>
      <c r="AM18" s="23">
        <f>IF(AND(35&gt;=$B18,35&lt;=$C18),-$D18/($C18-$B18+1),0)</f>
        <v>0</v>
      </c>
      <c r="AN18" s="23">
        <f>IF(AND(36&gt;=$B18,36&lt;=$C18),-$D18/($C18-$B18+1),0)</f>
        <v>0</v>
      </c>
    </row>
    <row r="19" spans="1:40">
      <c r="A19" t="s">
        <v>130</v>
      </c>
      <c r="B19" s="26">
        <v>2</v>
      </c>
      <c r="C19" s="26">
        <v>2</v>
      </c>
      <c r="D19" s="23">
        <f>Bilan!B23</f>
        <v>71000</v>
      </c>
      <c r="E19" s="23">
        <f>IF(AND(1&gt;=$B19,1&lt;=$C19),-$D19/($C19-$B19+1),0)</f>
        <v>0</v>
      </c>
      <c r="F19" s="23">
        <f>IF(AND(2&gt;=$B19,2&lt;=$C19),-$D19/($C19-$B19+1),0)</f>
        <v>-71000</v>
      </c>
      <c r="G19" s="23">
        <f>IF(AND(3&gt;=$B19,3&lt;=$C19),-$D19/($C19-$B19+1),0)</f>
        <v>0</v>
      </c>
      <c r="H19" s="23">
        <f>IF(AND(4&gt;=$B19,4&lt;=$C19),-$D19/($C19-$B19+1),0)</f>
        <v>0</v>
      </c>
      <c r="I19" s="23">
        <f>IF(AND(5&gt;=$B19,5&lt;=$C19),-$D19/($C19-$B19+1),0)</f>
        <v>0</v>
      </c>
      <c r="J19" s="23">
        <f>IF(AND(6&gt;=$B19,6&lt;=$C19),-$D19/($C19-$B19+1),0)</f>
        <v>0</v>
      </c>
      <c r="K19" s="23">
        <f>IF(AND(7&gt;=$B19,7&lt;=$C19),-$D19/($C19-$B19+1),0)</f>
        <v>0</v>
      </c>
      <c r="L19" s="23">
        <f>IF(AND(8&gt;=$B19,8&lt;=$C19),-$D19/($C19-$B19+1),0)</f>
        <v>0</v>
      </c>
      <c r="M19" s="23">
        <f>IF(AND(9&gt;=$B19,9&lt;=$C19),-$D19/($C19-$B19+1),0)</f>
        <v>0</v>
      </c>
      <c r="N19" s="23">
        <f>IF(AND(10&gt;=$B19,10&lt;=$C19),-$D19/($C19-$B19+1),0)</f>
        <v>0</v>
      </c>
      <c r="O19" s="23">
        <f>IF(AND(11&gt;=$B19,11&lt;=$C19),-$D19/($C19-$B19+1),0)</f>
        <v>0</v>
      </c>
      <c r="P19" s="23">
        <f>IF(AND(12&gt;=$B19,12&lt;=$C19),-$D19/($C19-$B19+1),0)</f>
        <v>0</v>
      </c>
      <c r="Q19" s="23">
        <f>IF(AND(13&gt;=$B19,13&lt;=$C19),-$D19/($C19-$B19+1),0)</f>
        <v>0</v>
      </c>
      <c r="R19" s="23">
        <f>IF(AND(14&gt;=$B19,14&lt;=$C19),-$D19/($C19-$B19+1),0)</f>
        <v>0</v>
      </c>
      <c r="S19" s="23">
        <f>IF(AND(15&gt;=$B19,15&lt;=$C19),-$D19/($C19-$B19+1),0)</f>
        <v>0</v>
      </c>
      <c r="T19" s="23">
        <f>IF(AND(16&gt;=$B19,16&lt;=$C19),-$D19/($C19-$B19+1),0)</f>
        <v>0</v>
      </c>
      <c r="U19" s="23">
        <f>IF(AND(17&gt;=$B19,17&lt;=$C19),-$D19/($C19-$B19+1),0)</f>
        <v>0</v>
      </c>
      <c r="V19" s="23">
        <f>IF(AND(18&gt;=$B19,18&lt;=$C19),-$D19/($C19-$B19+1),0)</f>
        <v>0</v>
      </c>
      <c r="W19" s="23">
        <f>IF(AND(19&gt;=$B19,19&lt;=$C19),-$D19/($C19-$B19+1),0)</f>
        <v>0</v>
      </c>
      <c r="X19" s="23">
        <f>IF(AND(20&gt;=$B19,20&lt;=$C19),-$D19/($C19-$B19+1),0)</f>
        <v>0</v>
      </c>
      <c r="Y19" s="23">
        <f>IF(AND(21&gt;=$B19,21&lt;=$C19),-$D19/($C19-$B19+1),0)</f>
        <v>0</v>
      </c>
      <c r="Z19" s="23">
        <f>IF(AND(22&gt;=$B19,22&lt;=$C19),-$D19/($C19-$B19+1),0)</f>
        <v>0</v>
      </c>
      <c r="AA19" s="23">
        <f>IF(AND(23&gt;=$B19,23&lt;=$C19),-$D19/($C19-$B19+1),0)</f>
        <v>0</v>
      </c>
      <c r="AB19" s="23">
        <f>IF(AND(24&gt;=$B19,24&lt;=$C19),-$D19/($C19-$B19+1),0)</f>
        <v>0</v>
      </c>
      <c r="AC19" s="23">
        <f>IF(AND(25&gt;=$B19,25&lt;=$C19),-$D19/($C19-$B19+1),0)</f>
        <v>0</v>
      </c>
      <c r="AD19" s="23">
        <f>IF(AND(26&gt;=$B19,26&lt;=$C19),-$D19/($C19-$B19+1),0)</f>
        <v>0</v>
      </c>
      <c r="AE19" s="23">
        <f>IF(AND(27&gt;=$B19,27&lt;=$C19),-$D19/($C19-$B19+1),0)</f>
        <v>0</v>
      </c>
      <c r="AF19" s="23">
        <f>IF(AND(28&gt;=$B19,28&lt;=$C19),-$D19/($C19-$B19+1),0)</f>
        <v>0</v>
      </c>
      <c r="AG19" s="23">
        <f>IF(AND(29&gt;=$B19,29&lt;=$C19),-$D19/($C19-$B19+1),0)</f>
        <v>0</v>
      </c>
      <c r="AH19" s="23">
        <f>IF(AND(30&gt;=$B19,30&lt;=$C19),-$D19/($C19-$B19+1),0)</f>
        <v>0</v>
      </c>
      <c r="AI19" s="23">
        <f>IF(AND(31&gt;=$B19,31&lt;=$C19),-$D19/($C19-$B19+1),0)</f>
        <v>0</v>
      </c>
      <c r="AJ19" s="23">
        <f>IF(AND(32&gt;=$B19,32&lt;=$C19),-$D19/($C19-$B19+1),0)</f>
        <v>0</v>
      </c>
      <c r="AK19" s="23">
        <f>IF(AND(33&gt;=$B19,33&lt;=$C19),-$D19/($C19-$B19+1),0)</f>
        <v>0</v>
      </c>
      <c r="AL19" s="23">
        <f>IF(AND(34&gt;=$B19,34&lt;=$C19),-$D19/($C19-$B19+1),0)</f>
        <v>0</v>
      </c>
      <c r="AM19" s="23">
        <f>IF(AND(35&gt;=$B19,35&lt;=$C19),-$D19/($C19-$B19+1),0)</f>
        <v>0</v>
      </c>
      <c r="AN19" s="23">
        <f>IF(AND(36&gt;=$B19,36&lt;=$C19),-$D19/($C19-$B19+1),0)</f>
        <v>0</v>
      </c>
    </row>
    <row r="20" spans="1:40">
      <c r="A20" t="s">
        <v>163</v>
      </c>
      <c r="B20" s="26">
        <v>2</v>
      </c>
      <c r="C20" s="26">
        <v>2</v>
      </c>
      <c r="D20" s="23">
        <f>Bilan!B24</f>
        <v>15000</v>
      </c>
      <c r="E20" s="23">
        <f>IF(AND(1&gt;=$B20,1&lt;=$C20),-$D20/($C20-$B20+1),0)</f>
        <v>0</v>
      </c>
      <c r="F20" s="23">
        <f>IF(AND(2&gt;=$B20,2&lt;=$C20),-$D20/($C20-$B20+1),0)</f>
        <v>-15000</v>
      </c>
      <c r="G20" s="23">
        <f>IF(AND(3&gt;=$B20,3&lt;=$C20),-$D20/($C20-$B20+1),0)</f>
        <v>0</v>
      </c>
      <c r="H20" s="23">
        <f>IF(AND(4&gt;=$B20,4&lt;=$C20),-$D20/($C20-$B20+1),0)</f>
        <v>0</v>
      </c>
      <c r="I20" s="23">
        <f>IF(AND(5&gt;=$B20,5&lt;=$C20),-$D20/($C20-$B20+1),0)</f>
        <v>0</v>
      </c>
      <c r="J20" s="23">
        <f>IF(AND(6&gt;=$B20,6&lt;=$C20),-$D20/($C20-$B20+1),0)</f>
        <v>0</v>
      </c>
      <c r="K20" s="23">
        <f>IF(AND(7&gt;=$B20,7&lt;=$C20),-$D20/($C20-$B20+1),0)</f>
        <v>0</v>
      </c>
      <c r="L20" s="23">
        <f>IF(AND(8&gt;=$B20,8&lt;=$C20),-$D20/($C20-$B20+1),0)</f>
        <v>0</v>
      </c>
      <c r="M20" s="23">
        <f>IF(AND(9&gt;=$B20,9&lt;=$C20),-$D20/($C20-$B20+1),0)</f>
        <v>0</v>
      </c>
      <c r="N20" s="23">
        <f>IF(AND(10&gt;=$B20,10&lt;=$C20),-$D20/($C20-$B20+1),0)</f>
        <v>0</v>
      </c>
      <c r="O20" s="23">
        <f>IF(AND(11&gt;=$B20,11&lt;=$C20),-$D20/($C20-$B20+1),0)</f>
        <v>0</v>
      </c>
      <c r="P20" s="23">
        <f>IF(AND(12&gt;=$B20,12&lt;=$C20),-$D20/($C20-$B20+1),0)</f>
        <v>0</v>
      </c>
      <c r="Q20" s="23">
        <f>IF(AND(13&gt;=$B20,13&lt;=$C20),-$D20/($C20-$B20+1),0)</f>
        <v>0</v>
      </c>
      <c r="R20" s="23">
        <f>IF(AND(14&gt;=$B20,14&lt;=$C20),-$D20/($C20-$B20+1),0)</f>
        <v>0</v>
      </c>
      <c r="S20" s="23">
        <f>IF(AND(15&gt;=$B20,15&lt;=$C20),-$D20/($C20-$B20+1),0)</f>
        <v>0</v>
      </c>
      <c r="T20" s="23">
        <f>IF(AND(16&gt;=$B20,16&lt;=$C20),-$D20/($C20-$B20+1),0)</f>
        <v>0</v>
      </c>
      <c r="U20" s="23">
        <f>IF(AND(17&gt;=$B20,17&lt;=$C20),-$D20/($C20-$B20+1),0)</f>
        <v>0</v>
      </c>
      <c r="V20" s="23">
        <f>IF(AND(18&gt;=$B20,18&lt;=$C20),-$D20/($C20-$B20+1),0)</f>
        <v>0</v>
      </c>
      <c r="W20" s="23">
        <f>IF(AND(19&gt;=$B20,19&lt;=$C20),-$D20/($C20-$B20+1),0)</f>
        <v>0</v>
      </c>
      <c r="X20" s="23">
        <f>IF(AND(20&gt;=$B20,20&lt;=$C20),-$D20/($C20-$B20+1),0)</f>
        <v>0</v>
      </c>
      <c r="Y20" s="23">
        <f>IF(AND(21&gt;=$B20,21&lt;=$C20),-$D20/($C20-$B20+1),0)</f>
        <v>0</v>
      </c>
      <c r="Z20" s="23">
        <f>IF(AND(22&gt;=$B20,22&lt;=$C20),-$D20/($C20-$B20+1),0)</f>
        <v>0</v>
      </c>
      <c r="AA20" s="23">
        <f>IF(AND(23&gt;=$B20,23&lt;=$C20),-$D20/($C20-$B20+1),0)</f>
        <v>0</v>
      </c>
      <c r="AB20" s="23">
        <f>IF(AND(24&gt;=$B20,24&lt;=$C20),-$D20/($C20-$B20+1),0)</f>
        <v>0</v>
      </c>
      <c r="AC20" s="23">
        <f>IF(AND(25&gt;=$B20,25&lt;=$C20),-$D20/($C20-$B20+1),0)</f>
        <v>0</v>
      </c>
      <c r="AD20" s="23">
        <f>IF(AND(26&gt;=$B20,26&lt;=$C20),-$D20/($C20-$B20+1),0)</f>
        <v>0</v>
      </c>
      <c r="AE20" s="23">
        <f>IF(AND(27&gt;=$B20,27&lt;=$C20),-$D20/($C20-$B20+1),0)</f>
        <v>0</v>
      </c>
      <c r="AF20" s="23">
        <f>IF(AND(28&gt;=$B20,28&lt;=$C20),-$D20/($C20-$B20+1),0)</f>
        <v>0</v>
      </c>
      <c r="AG20" s="23">
        <f>IF(AND(29&gt;=$B20,29&lt;=$C20),-$D20/($C20-$B20+1),0)</f>
        <v>0</v>
      </c>
      <c r="AH20" s="23">
        <f>IF(AND(30&gt;=$B20,30&lt;=$C20),-$D20/($C20-$B20+1),0)</f>
        <v>0</v>
      </c>
      <c r="AI20" s="23">
        <f>IF(AND(31&gt;=$B20,31&lt;=$C20),-$D20/($C20-$B20+1),0)</f>
        <v>0</v>
      </c>
      <c r="AJ20" s="23">
        <f>IF(AND(32&gt;=$B20,32&lt;=$C20),-$D20/($C20-$B20+1),0)</f>
        <v>0</v>
      </c>
      <c r="AK20" s="23">
        <f>IF(AND(33&gt;=$B20,33&lt;=$C20),-$D20/($C20-$B20+1),0)</f>
        <v>0</v>
      </c>
      <c r="AL20" s="23">
        <f>IF(AND(34&gt;=$B20,34&lt;=$C20),-$D20/($C20-$B20+1),0)</f>
        <v>0</v>
      </c>
      <c r="AM20" s="23">
        <f>IF(AND(35&gt;=$B20,35&lt;=$C20),-$D20/($C20-$B20+1),0)</f>
        <v>0</v>
      </c>
      <c r="AN20" s="23">
        <f>IF(AND(36&gt;=$B20,36&lt;=$C20),-$D20/($C20-$B20+1),0)</f>
        <v>0</v>
      </c>
    </row>
    <row r="21" spans="1:40">
      <c r="A21" t="s">
        <v>15</v>
      </c>
      <c r="B21" s="26">
        <v>3</v>
      </c>
      <c r="C21" s="26">
        <v>18</v>
      </c>
      <c r="D21" s="23">
        <f>Bilan!B10</f>
        <v>2374000</v>
      </c>
      <c r="E21" s="23">
        <f>IF(AND(1&gt;=$B21,1&lt;=$C21),-$D21/($C21-$B21+1),0)</f>
        <v>0</v>
      </c>
      <c r="F21" s="23">
        <f>IF(AND(2&gt;=$B21,2&lt;=$C21),-$D21/($C21-$B21+1),0)</f>
        <v>0</v>
      </c>
      <c r="G21" s="23">
        <f>IF(AND(3&gt;=$B21,3&lt;=$C21),-$D21/($C21-$B21+1),0)</f>
        <v>-148375</v>
      </c>
      <c r="H21" s="23">
        <f>IF(AND(4&gt;=$B21,4&lt;=$C21),-$D21/($C21-$B21+1),0)</f>
        <v>-148375</v>
      </c>
      <c r="I21" s="23">
        <f>IF(AND(5&gt;=$B21,5&lt;=$C21),-$D21/($C21-$B21+1),0)</f>
        <v>-148375</v>
      </c>
      <c r="J21" s="23">
        <f>IF(AND(6&gt;=$B21,6&lt;=$C21),-$D21/($C21-$B21+1),0)</f>
        <v>-148375</v>
      </c>
      <c r="K21" s="23">
        <f>IF(AND(7&gt;=$B21,7&lt;=$C21),-$D21/($C21-$B21+1),0)</f>
        <v>-148375</v>
      </c>
      <c r="L21" s="23">
        <f>IF(AND(8&gt;=$B21,8&lt;=$C21),-$D21/($C21-$B21+1),0)</f>
        <v>-148375</v>
      </c>
      <c r="M21" s="23">
        <f>IF(AND(9&gt;=$B21,9&lt;=$C21),-$D21/($C21-$B21+1),0)</f>
        <v>-148375</v>
      </c>
      <c r="N21" s="23">
        <f>IF(AND(10&gt;=$B21,10&lt;=$C21),-$D21/($C21-$B21+1),0)</f>
        <v>-148375</v>
      </c>
      <c r="O21" s="23">
        <f>IF(AND(11&gt;=$B21,11&lt;=$C21),-$D21/($C21-$B21+1),0)</f>
        <v>-148375</v>
      </c>
      <c r="P21" s="23">
        <f>IF(AND(12&gt;=$B21,12&lt;=$C21),-$D21/($C21-$B21+1),0)</f>
        <v>-148375</v>
      </c>
      <c r="Q21" s="23">
        <f>IF(AND(13&gt;=$B21,13&lt;=$C21),-$D21/($C21-$B21+1),0)</f>
        <v>-148375</v>
      </c>
      <c r="R21" s="23">
        <f>IF(AND(14&gt;=$B21,14&lt;=$C21),-$D21/($C21-$B21+1),0)</f>
        <v>-148375</v>
      </c>
      <c r="S21" s="23">
        <f>IF(AND(15&gt;=$B21,15&lt;=$C21),-$D21/($C21-$B21+1),0)</f>
        <v>-148375</v>
      </c>
      <c r="T21" s="23">
        <f>IF(AND(16&gt;=$B21,16&lt;=$C21),-$D21/($C21-$B21+1),0)</f>
        <v>-148375</v>
      </c>
      <c r="U21" s="23">
        <f>IF(AND(17&gt;=$B21,17&lt;=$C21),-$D21/($C21-$B21+1),0)</f>
        <v>-148375</v>
      </c>
      <c r="V21" s="23">
        <f>IF(AND(18&gt;=$B21,18&lt;=$C21),-$D21/($C21-$B21+1),0)</f>
        <v>-148375</v>
      </c>
      <c r="W21" s="23">
        <f>IF(AND(19&gt;=$B21,19&lt;=$C21),-$D21/($C21-$B21+1),0)</f>
        <v>0</v>
      </c>
      <c r="X21" s="23">
        <f>IF(AND(20&gt;=$B21,20&lt;=$C21),-$D21/($C21-$B21+1),0)</f>
        <v>0</v>
      </c>
      <c r="Y21" s="23">
        <f>IF(AND(21&gt;=$B21,21&lt;=$C21),-$D21/($C21-$B21+1),0)</f>
        <v>0</v>
      </c>
      <c r="Z21" s="23">
        <f>IF(AND(22&gt;=$B21,22&lt;=$C21),-$D21/($C21-$B21+1),0)</f>
        <v>0</v>
      </c>
      <c r="AA21" s="23">
        <f>IF(AND(23&gt;=$B21,23&lt;=$C21),-$D21/($C21-$B21+1),0)</f>
        <v>0</v>
      </c>
      <c r="AB21" s="23">
        <f>IF(AND(24&gt;=$B21,24&lt;=$C21),-$D21/($C21-$B21+1),0)</f>
        <v>0</v>
      </c>
      <c r="AC21" s="23">
        <f>IF(AND(25&gt;=$B21,25&lt;=$C21),-$D21/($C21-$B21+1),0)</f>
        <v>0</v>
      </c>
      <c r="AD21" s="23">
        <f>IF(AND(26&gt;=$B21,26&lt;=$C21),-$D21/($C21-$B21+1),0)</f>
        <v>0</v>
      </c>
      <c r="AE21" s="23">
        <f>IF(AND(27&gt;=$B21,27&lt;=$C21),-$D21/($C21-$B21+1),0)</f>
        <v>0</v>
      </c>
      <c r="AF21" s="23">
        <f>IF(AND(28&gt;=$B21,28&lt;=$C21),-$D21/($C21-$B21+1),0)</f>
        <v>0</v>
      </c>
      <c r="AG21" s="23">
        <f>IF(AND(29&gt;=$B21,29&lt;=$C21),-$D21/($C21-$B21+1),0)</f>
        <v>0</v>
      </c>
      <c r="AH21" s="23">
        <f>IF(AND(30&gt;=$B21,30&lt;=$C21),-$D21/($C21-$B21+1),0)</f>
        <v>0</v>
      </c>
      <c r="AI21" s="23">
        <f>IF(AND(31&gt;=$B21,31&lt;=$C21),-$D21/($C21-$B21+1),0)</f>
        <v>0</v>
      </c>
      <c r="AJ21" s="23">
        <f>IF(AND(32&gt;=$B21,32&lt;=$C21),-$D21/($C21-$B21+1),0)</f>
        <v>0</v>
      </c>
      <c r="AK21" s="23">
        <f>IF(AND(33&gt;=$B21,33&lt;=$C21),-$D21/($C21-$B21+1),0)</f>
        <v>0</v>
      </c>
      <c r="AL21" s="23">
        <f>IF(AND(34&gt;=$B21,34&lt;=$C21),-$D21/($C21-$B21+1),0)</f>
        <v>0</v>
      </c>
      <c r="AM21" s="23">
        <f>IF(AND(35&gt;=$B21,35&lt;=$C21),-$D21/($C21-$B21+1),0)</f>
        <v>0</v>
      </c>
      <c r="AN21" s="23">
        <f>IF(AND(36&gt;=$B21,36&lt;=$C21),-$D21/($C21-$B21+1),0)</f>
        <v>0</v>
      </c>
    </row>
    <row r="22" spans="1:40">
      <c r="A22" t="s">
        <v>159</v>
      </c>
      <c r="B22" s="26">
        <v>3</v>
      </c>
      <c r="C22" s="26">
        <v>18</v>
      </c>
      <c r="D22" s="23">
        <f>Bilan!B17</f>
        <v>166180</v>
      </c>
      <c r="E22" s="23">
        <f>IF(AND(1&gt;=$B22,1&lt;=$C22),-$D22/($C22-$B22+1),0)</f>
        <v>0</v>
      </c>
      <c r="F22" s="23">
        <f>IF(AND(2&gt;=$B22,2&lt;=$C22),-$D22/($C22-$B22+1),0)</f>
        <v>0</v>
      </c>
      <c r="G22" s="23">
        <f>IF(AND(3&gt;=$B22,3&lt;=$C22),-$D22/($C22-$B22+1),0)</f>
        <v>-10386.25</v>
      </c>
      <c r="H22" s="23">
        <f>IF(AND(4&gt;=$B22,4&lt;=$C22),-$D22/($C22-$B22+1),0)</f>
        <v>-10386.25</v>
      </c>
      <c r="I22" s="23">
        <f>IF(AND(5&gt;=$B22,5&lt;=$C22),-$D22/($C22-$B22+1),0)</f>
        <v>-10386.25</v>
      </c>
      <c r="J22" s="23">
        <f>IF(AND(6&gt;=$B22,6&lt;=$C22),-$D22/($C22-$B22+1),0)</f>
        <v>-10386.25</v>
      </c>
      <c r="K22" s="23">
        <f>IF(AND(7&gt;=$B22,7&lt;=$C22),-$D22/($C22-$B22+1),0)</f>
        <v>-10386.25</v>
      </c>
      <c r="L22" s="23">
        <f>IF(AND(8&gt;=$B22,8&lt;=$C22),-$D22/($C22-$B22+1),0)</f>
        <v>-10386.25</v>
      </c>
      <c r="M22" s="23">
        <f>IF(AND(9&gt;=$B22,9&lt;=$C22),-$D22/($C22-$B22+1),0)</f>
        <v>-10386.25</v>
      </c>
      <c r="N22" s="23">
        <f>IF(AND(10&gt;=$B22,10&lt;=$C22),-$D22/($C22-$B22+1),0)</f>
        <v>-10386.25</v>
      </c>
      <c r="O22" s="23">
        <f>IF(AND(11&gt;=$B22,11&lt;=$C22),-$D22/($C22-$B22+1),0)</f>
        <v>-10386.25</v>
      </c>
      <c r="P22" s="23">
        <f>IF(AND(12&gt;=$B22,12&lt;=$C22),-$D22/($C22-$B22+1),0)</f>
        <v>-10386.25</v>
      </c>
      <c r="Q22" s="23">
        <f>IF(AND(13&gt;=$B22,13&lt;=$C22),-$D22/($C22-$B22+1),0)</f>
        <v>-10386.25</v>
      </c>
      <c r="R22" s="23">
        <f>IF(AND(14&gt;=$B22,14&lt;=$C22),-$D22/($C22-$B22+1),0)</f>
        <v>-10386.25</v>
      </c>
      <c r="S22" s="23">
        <f>IF(AND(15&gt;=$B22,15&lt;=$C22),-$D22/($C22-$B22+1),0)</f>
        <v>-10386.25</v>
      </c>
      <c r="T22" s="23">
        <f>IF(AND(16&gt;=$B22,16&lt;=$C22),-$D22/($C22-$B22+1),0)</f>
        <v>-10386.25</v>
      </c>
      <c r="U22" s="23">
        <f>IF(AND(17&gt;=$B22,17&lt;=$C22),-$D22/($C22-$B22+1),0)</f>
        <v>-10386.25</v>
      </c>
      <c r="V22" s="23">
        <f>IF(AND(18&gt;=$B22,18&lt;=$C22),-$D22/($C22-$B22+1),0)</f>
        <v>-10386.25</v>
      </c>
      <c r="W22" s="23">
        <f>IF(AND(19&gt;=$B22,19&lt;=$C22),-$D22/($C22-$B22+1),0)</f>
        <v>0</v>
      </c>
      <c r="X22" s="23">
        <f>IF(AND(20&gt;=$B22,20&lt;=$C22),-$D22/($C22-$B22+1),0)</f>
        <v>0</v>
      </c>
      <c r="Y22" s="23">
        <f>IF(AND(21&gt;=$B22,21&lt;=$C22),-$D22/($C22-$B22+1),0)</f>
        <v>0</v>
      </c>
      <c r="Z22" s="23">
        <f>IF(AND(22&gt;=$B22,22&lt;=$C22),-$D22/($C22-$B22+1),0)</f>
        <v>0</v>
      </c>
      <c r="AA22" s="23">
        <f>IF(AND(23&gt;=$B22,23&lt;=$C22),-$D22/($C22-$B22+1),0)</f>
        <v>0</v>
      </c>
      <c r="AB22" s="23">
        <f>IF(AND(24&gt;=$B22,24&lt;=$C22),-$D22/($C22-$B22+1),0)</f>
        <v>0</v>
      </c>
      <c r="AC22" s="23">
        <f>IF(AND(25&gt;=$B22,25&lt;=$C22),-$D22/($C22-$B22+1),0)</f>
        <v>0</v>
      </c>
      <c r="AD22" s="23">
        <f>IF(AND(26&gt;=$B22,26&lt;=$C22),-$D22/($C22-$B22+1),0)</f>
        <v>0</v>
      </c>
      <c r="AE22" s="23">
        <f>IF(AND(27&gt;=$B22,27&lt;=$C22),-$D22/($C22-$B22+1),0)</f>
        <v>0</v>
      </c>
      <c r="AF22" s="23">
        <f>IF(AND(28&gt;=$B22,28&lt;=$C22),-$D22/($C22-$B22+1),0)</f>
        <v>0</v>
      </c>
      <c r="AG22" s="23">
        <f>IF(AND(29&gt;=$B22,29&lt;=$C22),-$D22/($C22-$B22+1),0)</f>
        <v>0</v>
      </c>
      <c r="AH22" s="23">
        <f>IF(AND(30&gt;=$B22,30&lt;=$C22),-$D22/($C22-$B22+1),0)</f>
        <v>0</v>
      </c>
      <c r="AI22" s="23">
        <f>IF(AND(31&gt;=$B22,31&lt;=$C22),-$D22/($C22-$B22+1),0)</f>
        <v>0</v>
      </c>
      <c r="AJ22" s="23">
        <f>IF(AND(32&gt;=$B22,32&lt;=$C22),-$D22/($C22-$B22+1),0)</f>
        <v>0</v>
      </c>
      <c r="AK22" s="23">
        <f>IF(AND(33&gt;=$B22,33&lt;=$C22),-$D22/($C22-$B22+1),0)</f>
        <v>0</v>
      </c>
      <c r="AL22" s="23">
        <f>IF(AND(34&gt;=$B22,34&lt;=$C22),-$D22/($C22-$B22+1),0)</f>
        <v>0</v>
      </c>
      <c r="AM22" s="23">
        <f>IF(AND(35&gt;=$B22,35&lt;=$C22),-$D22/($C22-$B22+1),0)</f>
        <v>0</v>
      </c>
      <c r="AN22" s="23">
        <f>IF(AND(36&gt;=$B22,36&lt;=$C22),-$D22/($C22-$B22+1),0)</f>
        <v>0</v>
      </c>
    </row>
    <row r="23" spans="1:40">
      <c r="A23" t="s">
        <v>158</v>
      </c>
      <c r="B23" s="26">
        <v>4</v>
      </c>
      <c r="C23" s="26">
        <v>6</v>
      </c>
      <c r="D23" s="23">
        <f>Bilan!B16</f>
        <v>20000</v>
      </c>
      <c r="E23" s="23">
        <f>IF(AND(1&gt;=$B23,1&lt;=$C23),-$D23/($C23-$B23+1),0)</f>
        <v>0</v>
      </c>
      <c r="F23" s="23">
        <f>IF(AND(2&gt;=$B23,2&lt;=$C23),-$D23/($C23-$B23+1),0)</f>
        <v>0</v>
      </c>
      <c r="G23" s="23">
        <f>IF(AND(3&gt;=$B23,3&lt;=$C23),-$D23/($C23-$B23+1),0)</f>
        <v>0</v>
      </c>
      <c r="H23" s="23">
        <f>IF(AND(4&gt;=$B23,4&lt;=$C23),-$D23/($C23-$B23+1),0)</f>
        <v>-6666.66666666666697</v>
      </c>
      <c r="I23" s="23">
        <f>IF(AND(5&gt;=$B23,5&lt;=$C23),-$D23/($C23-$B23+1),0)</f>
        <v>-6666.66666666666697</v>
      </c>
      <c r="J23" s="23">
        <f>IF(AND(6&gt;=$B23,6&lt;=$C23),-$D23/($C23-$B23+1),0)</f>
        <v>-6666.66666666666697</v>
      </c>
      <c r="K23" s="23">
        <f>IF(AND(7&gt;=$B23,7&lt;=$C23),-$D23/($C23-$B23+1),0)</f>
        <v>0</v>
      </c>
      <c r="L23" s="23">
        <f>IF(AND(8&gt;=$B23,8&lt;=$C23),-$D23/($C23-$B23+1),0)</f>
        <v>0</v>
      </c>
      <c r="M23" s="23">
        <f>IF(AND(9&gt;=$B23,9&lt;=$C23),-$D23/($C23-$B23+1),0)</f>
        <v>0</v>
      </c>
      <c r="N23" s="23">
        <f>IF(AND(10&gt;=$B23,10&lt;=$C23),-$D23/($C23-$B23+1),0)</f>
        <v>0</v>
      </c>
      <c r="O23" s="23">
        <f>IF(AND(11&gt;=$B23,11&lt;=$C23),-$D23/($C23-$B23+1),0)</f>
        <v>0</v>
      </c>
      <c r="P23" s="23">
        <f>IF(AND(12&gt;=$B23,12&lt;=$C23),-$D23/($C23-$B23+1),0)</f>
        <v>0</v>
      </c>
      <c r="Q23" s="23">
        <f>IF(AND(13&gt;=$B23,13&lt;=$C23),-$D23/($C23-$B23+1),0)</f>
        <v>0</v>
      </c>
      <c r="R23" s="23">
        <f>IF(AND(14&gt;=$B23,14&lt;=$C23),-$D23/($C23-$B23+1),0)</f>
        <v>0</v>
      </c>
      <c r="S23" s="23">
        <f>IF(AND(15&gt;=$B23,15&lt;=$C23),-$D23/($C23-$B23+1),0)</f>
        <v>0</v>
      </c>
      <c r="T23" s="23">
        <f>IF(AND(16&gt;=$B23,16&lt;=$C23),-$D23/($C23-$B23+1),0)</f>
        <v>0</v>
      </c>
      <c r="U23" s="23">
        <f>IF(AND(17&gt;=$B23,17&lt;=$C23),-$D23/($C23-$B23+1),0)</f>
        <v>0</v>
      </c>
      <c r="V23" s="23">
        <f>IF(AND(18&gt;=$B23,18&lt;=$C23),-$D23/($C23-$B23+1),0)</f>
        <v>0</v>
      </c>
      <c r="W23" s="23">
        <f>IF(AND(19&gt;=$B23,19&lt;=$C23),-$D23/($C23-$B23+1),0)</f>
        <v>0</v>
      </c>
      <c r="X23" s="23">
        <f>IF(AND(20&gt;=$B23,20&lt;=$C23),-$D23/($C23-$B23+1),0)</f>
        <v>0</v>
      </c>
      <c r="Y23" s="23">
        <f>IF(AND(21&gt;=$B23,21&lt;=$C23),-$D23/($C23-$B23+1),0)</f>
        <v>0</v>
      </c>
      <c r="Z23" s="23">
        <f>IF(AND(22&gt;=$B23,22&lt;=$C23),-$D23/($C23-$B23+1),0)</f>
        <v>0</v>
      </c>
      <c r="AA23" s="23">
        <f>IF(AND(23&gt;=$B23,23&lt;=$C23),-$D23/($C23-$B23+1),0)</f>
        <v>0</v>
      </c>
      <c r="AB23" s="23">
        <f>IF(AND(24&gt;=$B23,24&lt;=$C23),-$D23/($C23-$B23+1),0)</f>
        <v>0</v>
      </c>
      <c r="AC23" s="23">
        <f>IF(AND(25&gt;=$B23,25&lt;=$C23),-$D23/($C23-$B23+1),0)</f>
        <v>0</v>
      </c>
      <c r="AD23" s="23">
        <f>IF(AND(26&gt;=$B23,26&lt;=$C23),-$D23/($C23-$B23+1),0)</f>
        <v>0</v>
      </c>
      <c r="AE23" s="23">
        <f>IF(AND(27&gt;=$B23,27&lt;=$C23),-$D23/($C23-$B23+1),0)</f>
        <v>0</v>
      </c>
      <c r="AF23" s="23">
        <f>IF(AND(28&gt;=$B23,28&lt;=$C23),-$D23/($C23-$B23+1),0)</f>
        <v>0</v>
      </c>
      <c r="AG23" s="23">
        <f>IF(AND(29&gt;=$B23,29&lt;=$C23),-$D23/($C23-$B23+1),0)</f>
        <v>0</v>
      </c>
      <c r="AH23" s="23">
        <f>IF(AND(30&gt;=$B23,30&lt;=$C23),-$D23/($C23-$B23+1),0)</f>
        <v>0</v>
      </c>
      <c r="AI23" s="23">
        <f>IF(AND(31&gt;=$B23,31&lt;=$C23),-$D23/($C23-$B23+1),0)</f>
        <v>0</v>
      </c>
      <c r="AJ23" s="23">
        <f>IF(AND(32&gt;=$B23,32&lt;=$C23),-$D23/($C23-$B23+1),0)</f>
        <v>0</v>
      </c>
      <c r="AK23" s="23">
        <f>IF(AND(33&gt;=$B23,33&lt;=$C23),-$D23/($C23-$B23+1),0)</f>
        <v>0</v>
      </c>
      <c r="AL23" s="23">
        <f>IF(AND(34&gt;=$B23,34&lt;=$C23),-$D23/($C23-$B23+1),0)</f>
        <v>0</v>
      </c>
      <c r="AM23" s="23">
        <f>IF(AND(35&gt;=$B23,35&lt;=$C23),-$D23/($C23-$B23+1),0)</f>
        <v>0</v>
      </c>
      <c r="AN23" s="23">
        <f>IF(AND(36&gt;=$B23,36&lt;=$C23),-$D23/($C23-$B23+1),0)</f>
        <v>0</v>
      </c>
    </row>
    <row r="24" spans="1:40">
      <c r="A24" t="s">
        <v>128</v>
      </c>
      <c r="B24" s="26">
        <v>4</v>
      </c>
      <c r="C24" s="26">
        <v>4</v>
      </c>
      <c r="D24" s="23">
        <f>Bilan!B22</f>
        <v>44000</v>
      </c>
      <c r="E24" s="23">
        <f>IF(AND(1&gt;=$B24,1&lt;=$C24),-$D24/($C24-$B24+1),0)</f>
        <v>0</v>
      </c>
      <c r="F24" s="23">
        <f>IF(AND(2&gt;=$B24,2&lt;=$C24),-$D24/($C24-$B24+1),0)</f>
        <v>0</v>
      </c>
      <c r="G24" s="23">
        <f>IF(AND(3&gt;=$B24,3&lt;=$C24),-$D24/($C24-$B24+1),0)</f>
        <v>0</v>
      </c>
      <c r="H24" s="23">
        <f>IF(AND(4&gt;=$B24,4&lt;=$C24),-$D24/($C24-$B24+1),0)</f>
        <v>-44000</v>
      </c>
      <c r="I24" s="23">
        <f>IF(AND(5&gt;=$B24,5&lt;=$C24),-$D24/($C24-$B24+1),0)</f>
        <v>0</v>
      </c>
      <c r="J24" s="23">
        <f>IF(AND(6&gt;=$B24,6&lt;=$C24),-$D24/($C24-$B24+1),0)</f>
        <v>0</v>
      </c>
      <c r="K24" s="23">
        <f>IF(AND(7&gt;=$B24,7&lt;=$C24),-$D24/($C24-$B24+1),0)</f>
        <v>0</v>
      </c>
      <c r="L24" s="23">
        <f>IF(AND(8&gt;=$B24,8&lt;=$C24),-$D24/($C24-$B24+1),0)</f>
        <v>0</v>
      </c>
      <c r="M24" s="23">
        <f>IF(AND(9&gt;=$B24,9&lt;=$C24),-$D24/($C24-$B24+1),0)</f>
        <v>0</v>
      </c>
      <c r="N24" s="23">
        <f>IF(AND(10&gt;=$B24,10&lt;=$C24),-$D24/($C24-$B24+1),0)</f>
        <v>0</v>
      </c>
      <c r="O24" s="23">
        <f>IF(AND(11&gt;=$B24,11&lt;=$C24),-$D24/($C24-$B24+1),0)</f>
        <v>0</v>
      </c>
      <c r="P24" s="23">
        <f>IF(AND(12&gt;=$B24,12&lt;=$C24),-$D24/($C24-$B24+1),0)</f>
        <v>0</v>
      </c>
      <c r="Q24" s="23">
        <f>IF(AND(13&gt;=$B24,13&lt;=$C24),-$D24/($C24-$B24+1),0)</f>
        <v>0</v>
      </c>
      <c r="R24" s="23">
        <f>IF(AND(14&gt;=$B24,14&lt;=$C24),-$D24/($C24-$B24+1),0)</f>
        <v>0</v>
      </c>
      <c r="S24" s="23">
        <f>IF(AND(15&gt;=$B24,15&lt;=$C24),-$D24/($C24-$B24+1),0)</f>
        <v>0</v>
      </c>
      <c r="T24" s="23">
        <f>IF(AND(16&gt;=$B24,16&lt;=$C24),-$D24/($C24-$B24+1),0)</f>
        <v>0</v>
      </c>
      <c r="U24" s="23">
        <f>IF(AND(17&gt;=$B24,17&lt;=$C24),-$D24/($C24-$B24+1),0)</f>
        <v>0</v>
      </c>
      <c r="V24" s="23">
        <f>IF(AND(18&gt;=$B24,18&lt;=$C24),-$D24/($C24-$B24+1),0)</f>
        <v>0</v>
      </c>
      <c r="W24" s="23">
        <f>IF(AND(19&gt;=$B24,19&lt;=$C24),-$D24/($C24-$B24+1),0)</f>
        <v>0</v>
      </c>
      <c r="X24" s="23">
        <f>IF(AND(20&gt;=$B24,20&lt;=$C24),-$D24/($C24-$B24+1),0)</f>
        <v>0</v>
      </c>
      <c r="Y24" s="23">
        <f>IF(AND(21&gt;=$B24,21&lt;=$C24),-$D24/($C24-$B24+1),0)</f>
        <v>0</v>
      </c>
      <c r="Z24" s="23">
        <f>IF(AND(22&gt;=$B24,22&lt;=$C24),-$D24/($C24-$B24+1),0)</f>
        <v>0</v>
      </c>
      <c r="AA24" s="23">
        <f>IF(AND(23&gt;=$B24,23&lt;=$C24),-$D24/($C24-$B24+1),0)</f>
        <v>0</v>
      </c>
      <c r="AB24" s="23">
        <f>IF(AND(24&gt;=$B24,24&lt;=$C24),-$D24/($C24-$B24+1),0)</f>
        <v>0</v>
      </c>
      <c r="AC24" s="23">
        <f>IF(AND(25&gt;=$B24,25&lt;=$C24),-$D24/($C24-$B24+1),0)</f>
        <v>0</v>
      </c>
      <c r="AD24" s="23">
        <f>IF(AND(26&gt;=$B24,26&lt;=$C24),-$D24/($C24-$B24+1),0)</f>
        <v>0</v>
      </c>
      <c r="AE24" s="23">
        <f>IF(AND(27&gt;=$B24,27&lt;=$C24),-$D24/($C24-$B24+1),0)</f>
        <v>0</v>
      </c>
      <c r="AF24" s="23">
        <f>IF(AND(28&gt;=$B24,28&lt;=$C24),-$D24/($C24-$B24+1),0)</f>
        <v>0</v>
      </c>
      <c r="AG24" s="23">
        <f>IF(AND(29&gt;=$B24,29&lt;=$C24),-$D24/($C24-$B24+1),0)</f>
        <v>0</v>
      </c>
      <c r="AH24" s="23">
        <f>IF(AND(30&gt;=$B24,30&lt;=$C24),-$D24/($C24-$B24+1),0)</f>
        <v>0</v>
      </c>
      <c r="AI24" s="23">
        <f>IF(AND(31&gt;=$B24,31&lt;=$C24),-$D24/($C24-$B24+1),0)</f>
        <v>0</v>
      </c>
      <c r="AJ24" s="23">
        <f>IF(AND(32&gt;=$B24,32&lt;=$C24),-$D24/($C24-$B24+1),0)</f>
        <v>0</v>
      </c>
      <c r="AK24" s="23">
        <f>IF(AND(33&gt;=$B24,33&lt;=$C24),-$D24/($C24-$B24+1),0)</f>
        <v>0</v>
      </c>
      <c r="AL24" s="23">
        <f>IF(AND(34&gt;=$B24,34&lt;=$C24),-$D24/($C24-$B24+1),0)</f>
        <v>0</v>
      </c>
      <c r="AM24" s="23">
        <f>IF(AND(35&gt;=$B24,35&lt;=$C24),-$D24/($C24-$B24+1),0)</f>
        <v>0</v>
      </c>
      <c r="AN24" s="23">
        <f>IF(AND(36&gt;=$B24,36&lt;=$C24),-$D24/($C24-$B24+1),0)</f>
        <v>0</v>
      </c>
    </row>
    <row r="25" spans="1:40">
      <c r="A25" t="s">
        <v>111</v>
      </c>
      <c r="B25" s="26">
        <v>15</v>
      </c>
      <c r="C25" s="26">
        <v>17</v>
      </c>
      <c r="D25" s="23">
        <f>Bilan!B12</f>
        <v>60000</v>
      </c>
      <c r="E25" s="23">
        <f>IF(AND(1&gt;=$B25,1&lt;=$C25),-$D25/($C25-$B25+1),0)</f>
        <v>0</v>
      </c>
      <c r="F25" s="23">
        <f>IF(AND(2&gt;=$B25,2&lt;=$C25),-$D25/($C25-$B25+1),0)</f>
        <v>0</v>
      </c>
      <c r="G25" s="23">
        <f>IF(AND(3&gt;=$B25,3&lt;=$C25),-$D25/($C25-$B25+1),0)</f>
        <v>0</v>
      </c>
      <c r="H25" s="23">
        <f>IF(AND(4&gt;=$B25,4&lt;=$C25),-$D25/($C25-$B25+1),0)</f>
        <v>0</v>
      </c>
      <c r="I25" s="23">
        <f>IF(AND(5&gt;=$B25,5&lt;=$C25),-$D25/($C25-$B25+1),0)</f>
        <v>0</v>
      </c>
      <c r="J25" s="23">
        <f>IF(AND(6&gt;=$B25,6&lt;=$C25),-$D25/($C25-$B25+1),0)</f>
        <v>0</v>
      </c>
      <c r="K25" s="23">
        <f>IF(AND(7&gt;=$B25,7&lt;=$C25),-$D25/($C25-$B25+1),0)</f>
        <v>0</v>
      </c>
      <c r="L25" s="23">
        <f>IF(AND(8&gt;=$B25,8&lt;=$C25),-$D25/($C25-$B25+1),0)</f>
        <v>0</v>
      </c>
      <c r="M25" s="23">
        <f>IF(AND(9&gt;=$B25,9&lt;=$C25),-$D25/($C25-$B25+1),0)</f>
        <v>0</v>
      </c>
      <c r="N25" s="23">
        <f>IF(AND(10&gt;=$B25,10&lt;=$C25),-$D25/($C25-$B25+1),0)</f>
        <v>0</v>
      </c>
      <c r="O25" s="23">
        <f>IF(AND(11&gt;=$B25,11&lt;=$C25),-$D25/($C25-$B25+1),0)</f>
        <v>0</v>
      </c>
      <c r="P25" s="23">
        <f>IF(AND(12&gt;=$B25,12&lt;=$C25),-$D25/($C25-$B25+1),0)</f>
        <v>0</v>
      </c>
      <c r="Q25" s="23">
        <f>IF(AND(13&gt;=$B25,13&lt;=$C25),-$D25/($C25-$B25+1),0)</f>
        <v>0</v>
      </c>
      <c r="R25" s="23">
        <f>IF(AND(14&gt;=$B25,14&lt;=$C25),-$D25/($C25-$B25+1),0)</f>
        <v>0</v>
      </c>
      <c r="S25" s="23">
        <f>IF(AND(15&gt;=$B25,15&lt;=$C25),-$D25/($C25-$B25+1),0)</f>
        <v>-20000</v>
      </c>
      <c r="T25" s="23">
        <f>IF(AND(16&gt;=$B25,16&lt;=$C25),-$D25/($C25-$B25+1),0)</f>
        <v>-20000</v>
      </c>
      <c r="U25" s="23">
        <f>IF(AND(17&gt;=$B25,17&lt;=$C25),-$D25/($C25-$B25+1),0)</f>
        <v>-20000</v>
      </c>
      <c r="V25" s="23">
        <f>IF(AND(18&gt;=$B25,18&lt;=$C25),-$D25/($C25-$B25+1),0)</f>
        <v>0</v>
      </c>
      <c r="W25" s="23">
        <f>IF(AND(19&gt;=$B25,19&lt;=$C25),-$D25/($C25-$B25+1),0)</f>
        <v>0</v>
      </c>
      <c r="X25" s="23">
        <f>IF(AND(20&gt;=$B25,20&lt;=$C25),-$D25/($C25-$B25+1),0)</f>
        <v>0</v>
      </c>
      <c r="Y25" s="23">
        <f>IF(AND(21&gt;=$B25,21&lt;=$C25),-$D25/($C25-$B25+1),0)</f>
        <v>0</v>
      </c>
      <c r="Z25" s="23">
        <f>IF(AND(22&gt;=$B25,22&lt;=$C25),-$D25/($C25-$B25+1),0)</f>
        <v>0</v>
      </c>
      <c r="AA25" s="23">
        <f>IF(AND(23&gt;=$B25,23&lt;=$C25),-$D25/($C25-$B25+1),0)</f>
        <v>0</v>
      </c>
      <c r="AB25" s="23">
        <f>IF(AND(24&gt;=$B25,24&lt;=$C25),-$D25/($C25-$B25+1),0)</f>
        <v>0</v>
      </c>
      <c r="AC25" s="23">
        <f>IF(AND(25&gt;=$B25,25&lt;=$C25),-$D25/($C25-$B25+1),0)</f>
        <v>0</v>
      </c>
      <c r="AD25" s="23">
        <f>IF(AND(26&gt;=$B25,26&lt;=$C25),-$D25/($C25-$B25+1),0)</f>
        <v>0</v>
      </c>
      <c r="AE25" s="23">
        <f>IF(AND(27&gt;=$B25,27&lt;=$C25),-$D25/($C25-$B25+1),0)</f>
        <v>0</v>
      </c>
      <c r="AF25" s="23">
        <f>IF(AND(28&gt;=$B25,28&lt;=$C25),-$D25/($C25-$B25+1),0)</f>
        <v>0</v>
      </c>
      <c r="AG25" s="23">
        <f>IF(AND(29&gt;=$B25,29&lt;=$C25),-$D25/($C25-$B25+1),0)</f>
        <v>0</v>
      </c>
      <c r="AH25" s="23">
        <f>IF(AND(30&gt;=$B25,30&lt;=$C25),-$D25/($C25-$B25+1),0)</f>
        <v>0</v>
      </c>
      <c r="AI25" s="23">
        <f>IF(AND(31&gt;=$B25,31&lt;=$C25),-$D25/($C25-$B25+1),0)</f>
        <v>0</v>
      </c>
      <c r="AJ25" s="23">
        <f>IF(AND(32&gt;=$B25,32&lt;=$C25),-$D25/($C25-$B25+1),0)</f>
        <v>0</v>
      </c>
      <c r="AK25" s="23">
        <f>IF(AND(33&gt;=$B25,33&lt;=$C25),-$D25/($C25-$B25+1),0)</f>
        <v>0</v>
      </c>
      <c r="AL25" s="23">
        <f>IF(AND(34&gt;=$B25,34&lt;=$C25),-$D25/($C25-$B25+1),0)</f>
        <v>0</v>
      </c>
      <c r="AM25" s="23">
        <f>IF(AND(35&gt;=$B25,35&lt;=$C25),-$D25/($C25-$B25+1),0)</f>
        <v>0</v>
      </c>
      <c r="AN25" s="23">
        <f>IF(AND(36&gt;=$B25,36&lt;=$C25),-$D25/($C25-$B25+1),0)</f>
        <v>0</v>
      </c>
    </row>
    <row r="26" spans="1:40">
      <c r="A26" t="s">
        <v>115</v>
      </c>
      <c r="B26" s="26">
        <v>16</v>
      </c>
      <c r="C26" s="26">
        <v>18</v>
      </c>
      <c r="D26" s="23">
        <f>Bilan!B14</f>
        <v>173000</v>
      </c>
      <c r="E26" s="23">
        <f>IF(AND(1&gt;=$B26,1&lt;=$C26),-$D26/($C26-$B26+1),0)</f>
        <v>0</v>
      </c>
      <c r="F26" s="23">
        <f>IF(AND(2&gt;=$B26,2&lt;=$C26),-$D26/($C26-$B26+1),0)</f>
        <v>0</v>
      </c>
      <c r="G26" s="23">
        <f>IF(AND(3&gt;=$B26,3&lt;=$C26),-$D26/($C26-$B26+1),0)</f>
        <v>0</v>
      </c>
      <c r="H26" s="23">
        <f>IF(AND(4&gt;=$B26,4&lt;=$C26),-$D26/($C26-$B26+1),0)</f>
        <v>0</v>
      </c>
      <c r="I26" s="23">
        <f>IF(AND(5&gt;=$B26,5&lt;=$C26),-$D26/($C26-$B26+1),0)</f>
        <v>0</v>
      </c>
      <c r="J26" s="23">
        <f>IF(AND(6&gt;=$B26,6&lt;=$C26),-$D26/($C26-$B26+1),0)</f>
        <v>0</v>
      </c>
      <c r="K26" s="23">
        <f>IF(AND(7&gt;=$B26,7&lt;=$C26),-$D26/($C26-$B26+1),0)</f>
        <v>0</v>
      </c>
      <c r="L26" s="23">
        <f>IF(AND(8&gt;=$B26,8&lt;=$C26),-$D26/($C26-$B26+1),0)</f>
        <v>0</v>
      </c>
      <c r="M26" s="23">
        <f>IF(AND(9&gt;=$B26,9&lt;=$C26),-$D26/($C26-$B26+1),0)</f>
        <v>0</v>
      </c>
      <c r="N26" s="23">
        <f>IF(AND(10&gt;=$B26,10&lt;=$C26),-$D26/($C26-$B26+1),0)</f>
        <v>0</v>
      </c>
      <c r="O26" s="23">
        <f>IF(AND(11&gt;=$B26,11&lt;=$C26),-$D26/($C26-$B26+1),0)</f>
        <v>0</v>
      </c>
      <c r="P26" s="23">
        <f>IF(AND(12&gt;=$B26,12&lt;=$C26),-$D26/($C26-$B26+1),0)</f>
        <v>0</v>
      </c>
      <c r="Q26" s="23">
        <f>IF(AND(13&gt;=$B26,13&lt;=$C26),-$D26/($C26-$B26+1),0)</f>
        <v>0</v>
      </c>
      <c r="R26" s="23">
        <f>IF(AND(14&gt;=$B26,14&lt;=$C26),-$D26/($C26-$B26+1),0)</f>
        <v>0</v>
      </c>
      <c r="S26" s="23">
        <f>IF(AND(15&gt;=$B26,15&lt;=$C26),-$D26/($C26-$B26+1),0)</f>
        <v>0</v>
      </c>
      <c r="T26" s="23">
        <f>IF(AND(16&gt;=$B26,16&lt;=$C26),-$D26/($C26-$B26+1),0)</f>
        <v>-57666.66666666666424</v>
      </c>
      <c r="U26" s="23">
        <f>IF(AND(17&gt;=$B26,17&lt;=$C26),-$D26/($C26-$B26+1),0)</f>
        <v>-57666.66666666666424</v>
      </c>
      <c r="V26" s="23">
        <f>IF(AND(18&gt;=$B26,18&lt;=$C26),-$D26/($C26-$B26+1),0)</f>
        <v>-57666.66666666666424</v>
      </c>
      <c r="W26" s="23">
        <f>IF(AND(19&gt;=$B26,19&lt;=$C26),-$D26/($C26-$B26+1),0)</f>
        <v>0</v>
      </c>
      <c r="X26" s="23">
        <f>IF(AND(20&gt;=$B26,20&lt;=$C26),-$D26/($C26-$B26+1),0)</f>
        <v>0</v>
      </c>
      <c r="Y26" s="23">
        <f>IF(AND(21&gt;=$B26,21&lt;=$C26),-$D26/($C26-$B26+1),0)</f>
        <v>0</v>
      </c>
      <c r="Z26" s="23">
        <f>IF(AND(22&gt;=$B26,22&lt;=$C26),-$D26/($C26-$B26+1),0)</f>
        <v>0</v>
      </c>
      <c r="AA26" s="23">
        <f>IF(AND(23&gt;=$B26,23&lt;=$C26),-$D26/($C26-$B26+1),0)</f>
        <v>0</v>
      </c>
      <c r="AB26" s="23">
        <f>IF(AND(24&gt;=$B26,24&lt;=$C26),-$D26/($C26-$B26+1),0)</f>
        <v>0</v>
      </c>
      <c r="AC26" s="23">
        <f>IF(AND(25&gt;=$B26,25&lt;=$C26),-$D26/($C26-$B26+1),0)</f>
        <v>0</v>
      </c>
      <c r="AD26" s="23">
        <f>IF(AND(26&gt;=$B26,26&lt;=$C26),-$D26/($C26-$B26+1),0)</f>
        <v>0</v>
      </c>
      <c r="AE26" s="23">
        <f>IF(AND(27&gt;=$B26,27&lt;=$C26),-$D26/($C26-$B26+1),0)</f>
        <v>0</v>
      </c>
      <c r="AF26" s="23">
        <f>IF(AND(28&gt;=$B26,28&lt;=$C26),-$D26/($C26-$B26+1),0)</f>
        <v>0</v>
      </c>
      <c r="AG26" s="23">
        <f>IF(AND(29&gt;=$B26,29&lt;=$C26),-$D26/($C26-$B26+1),0)</f>
        <v>0</v>
      </c>
      <c r="AH26" s="23">
        <f>IF(AND(30&gt;=$B26,30&lt;=$C26),-$D26/($C26-$B26+1),0)</f>
        <v>0</v>
      </c>
      <c r="AI26" s="23">
        <f>IF(AND(31&gt;=$B26,31&lt;=$C26),-$D26/($C26-$B26+1),0)</f>
        <v>0</v>
      </c>
      <c r="AJ26" s="23">
        <f>IF(AND(32&gt;=$B26,32&lt;=$C26),-$D26/($C26-$B26+1),0)</f>
        <v>0</v>
      </c>
      <c r="AK26" s="23">
        <f>IF(AND(33&gt;=$B26,33&lt;=$C26),-$D26/($C26-$B26+1),0)</f>
        <v>0</v>
      </c>
      <c r="AL26" s="23">
        <f>IF(AND(34&gt;=$B26,34&lt;=$C26),-$D26/($C26-$B26+1),0)</f>
        <v>0</v>
      </c>
      <c r="AM26" s="23">
        <f>IF(AND(35&gt;=$B26,35&lt;=$C26),-$D26/($C26-$B26+1),0)</f>
        <v>0</v>
      </c>
      <c r="AN26" s="23">
        <f>IF(AND(36&gt;=$B26,36&lt;=$C26),-$D26/($C26-$B26+1),0)</f>
        <v>0</v>
      </c>
    </row>
    <row r="27" spans="1:40">
      <c r="A27" t="s">
        <v>113</v>
      </c>
      <c r="B27" s="26">
        <v>17</v>
      </c>
      <c r="C27" s="26">
        <v>18</v>
      </c>
      <c r="D27" s="23">
        <f>Bilan!B13</f>
        <v>65000</v>
      </c>
      <c r="E27" s="23">
        <f>IF(AND(1&gt;=$B27,1&lt;=$C27),-$D27/($C27-$B27+1),0)</f>
        <v>0</v>
      </c>
      <c r="F27" s="23">
        <f>IF(AND(2&gt;=$B27,2&lt;=$C27),-$D27/($C27-$B27+1),0)</f>
        <v>0</v>
      </c>
      <c r="G27" s="23">
        <f>IF(AND(3&gt;=$B27,3&lt;=$C27),-$D27/($C27-$B27+1),0)</f>
        <v>0</v>
      </c>
      <c r="H27" s="23">
        <f>IF(AND(4&gt;=$B27,4&lt;=$C27),-$D27/($C27-$B27+1),0)</f>
        <v>0</v>
      </c>
      <c r="I27" s="23">
        <f>IF(AND(5&gt;=$B27,5&lt;=$C27),-$D27/($C27-$B27+1),0)</f>
        <v>0</v>
      </c>
      <c r="J27" s="23">
        <f>IF(AND(6&gt;=$B27,6&lt;=$C27),-$D27/($C27-$B27+1),0)</f>
        <v>0</v>
      </c>
      <c r="K27" s="23">
        <f>IF(AND(7&gt;=$B27,7&lt;=$C27),-$D27/($C27-$B27+1),0)</f>
        <v>0</v>
      </c>
      <c r="L27" s="23">
        <f>IF(AND(8&gt;=$B27,8&lt;=$C27),-$D27/($C27-$B27+1),0)</f>
        <v>0</v>
      </c>
      <c r="M27" s="23">
        <f>IF(AND(9&gt;=$B27,9&lt;=$C27),-$D27/($C27-$B27+1),0)</f>
        <v>0</v>
      </c>
      <c r="N27" s="23">
        <f>IF(AND(10&gt;=$B27,10&lt;=$C27),-$D27/($C27-$B27+1),0)</f>
        <v>0</v>
      </c>
      <c r="O27" s="23">
        <f>IF(AND(11&gt;=$B27,11&lt;=$C27),-$D27/($C27-$B27+1),0)</f>
        <v>0</v>
      </c>
      <c r="P27" s="23">
        <f>IF(AND(12&gt;=$B27,12&lt;=$C27),-$D27/($C27-$B27+1),0)</f>
        <v>0</v>
      </c>
      <c r="Q27" s="23">
        <f>IF(AND(13&gt;=$B27,13&lt;=$C27),-$D27/($C27-$B27+1),0)</f>
        <v>0</v>
      </c>
      <c r="R27" s="23">
        <f>IF(AND(14&gt;=$B27,14&lt;=$C27),-$D27/($C27-$B27+1),0)</f>
        <v>0</v>
      </c>
      <c r="S27" s="23">
        <f>IF(AND(15&gt;=$B27,15&lt;=$C27),-$D27/($C27-$B27+1),0)</f>
        <v>0</v>
      </c>
      <c r="T27" s="23">
        <f>IF(AND(16&gt;=$B27,16&lt;=$C27),-$D27/($C27-$B27+1),0)</f>
        <v>0</v>
      </c>
      <c r="U27" s="23">
        <f>IF(AND(17&gt;=$B27,17&lt;=$C27),-$D27/($C27-$B27+1),0)</f>
        <v>-32500</v>
      </c>
      <c r="V27" s="23">
        <f>IF(AND(18&gt;=$B27,18&lt;=$C27),-$D27/($C27-$B27+1),0)</f>
        <v>-32500</v>
      </c>
      <c r="W27" s="23">
        <f>IF(AND(19&gt;=$B27,19&lt;=$C27),-$D27/($C27-$B27+1),0)</f>
        <v>0</v>
      </c>
      <c r="X27" s="23">
        <f>IF(AND(20&gt;=$B27,20&lt;=$C27),-$D27/($C27-$B27+1),0)</f>
        <v>0</v>
      </c>
      <c r="Y27" s="23">
        <f>IF(AND(21&gt;=$B27,21&lt;=$C27),-$D27/($C27-$B27+1),0)</f>
        <v>0</v>
      </c>
      <c r="Z27" s="23">
        <f>IF(AND(22&gt;=$B27,22&lt;=$C27),-$D27/($C27-$B27+1),0)</f>
        <v>0</v>
      </c>
      <c r="AA27" s="23">
        <f>IF(AND(23&gt;=$B27,23&lt;=$C27),-$D27/($C27-$B27+1),0)</f>
        <v>0</v>
      </c>
      <c r="AB27" s="23">
        <f>IF(AND(24&gt;=$B27,24&lt;=$C27),-$D27/($C27-$B27+1),0)</f>
        <v>0</v>
      </c>
      <c r="AC27" s="23">
        <f>IF(AND(25&gt;=$B27,25&lt;=$C27),-$D27/($C27-$B27+1),0)</f>
        <v>0</v>
      </c>
      <c r="AD27" s="23">
        <f>IF(AND(26&gt;=$B27,26&lt;=$C27),-$D27/($C27-$B27+1),0)</f>
        <v>0</v>
      </c>
      <c r="AE27" s="23">
        <f>IF(AND(27&gt;=$B27,27&lt;=$C27),-$D27/($C27-$B27+1),0)</f>
        <v>0</v>
      </c>
      <c r="AF27" s="23">
        <f>IF(AND(28&gt;=$B27,28&lt;=$C27),-$D27/($C27-$B27+1),0)</f>
        <v>0</v>
      </c>
      <c r="AG27" s="23">
        <f>IF(AND(29&gt;=$B27,29&lt;=$C27),-$D27/($C27-$B27+1),0)</f>
        <v>0</v>
      </c>
      <c r="AH27" s="23">
        <f>IF(AND(30&gt;=$B27,30&lt;=$C27),-$D27/($C27-$B27+1),0)</f>
        <v>0</v>
      </c>
      <c r="AI27" s="23">
        <f>IF(AND(31&gt;=$B27,31&lt;=$C27),-$D27/($C27-$B27+1),0)</f>
        <v>0</v>
      </c>
      <c r="AJ27" s="23">
        <f>IF(AND(32&gt;=$B27,32&lt;=$C27),-$D27/($C27-$B27+1),0)</f>
        <v>0</v>
      </c>
      <c r="AK27" s="23">
        <f>IF(AND(33&gt;=$B27,33&lt;=$C27),-$D27/($C27-$B27+1),0)</f>
        <v>0</v>
      </c>
      <c r="AL27" s="23">
        <f>IF(AND(34&gt;=$B27,34&lt;=$C27),-$D27/($C27-$B27+1),0)</f>
        <v>0</v>
      </c>
      <c r="AM27" s="23">
        <f>IF(AND(35&gt;=$B27,35&lt;=$C27),-$D27/($C27-$B27+1),0)</f>
        <v>0</v>
      </c>
      <c r="AN27" s="23">
        <f>IF(AND(36&gt;=$B27,36&lt;=$C27),-$D27/($C27-$B27+1),0)</f>
        <v>0</v>
      </c>
    </row>
    <row r="28" spans="1:40">
      <c r="A28" t="s">
        <v>116</v>
      </c>
      <c r="B28" s="26">
        <v>18</v>
      </c>
      <c r="C28" s="26">
        <v>19</v>
      </c>
      <c r="D28" s="23">
        <f>Bilan!B15</f>
        <v>216000</v>
      </c>
      <c r="E28" s="23">
        <f>IF(AND(1&gt;=$B28,1&lt;=$C28),-$D28/($C28-$B28+1),0)</f>
        <v>0</v>
      </c>
      <c r="F28" s="23">
        <f>IF(AND(2&gt;=$B28,2&lt;=$C28),-$D28/($C28-$B28+1),0)</f>
        <v>0</v>
      </c>
      <c r="G28" s="23">
        <f>IF(AND(3&gt;=$B28,3&lt;=$C28),-$D28/($C28-$B28+1),0)</f>
        <v>0</v>
      </c>
      <c r="H28" s="23">
        <f>IF(AND(4&gt;=$B28,4&lt;=$C28),-$D28/($C28-$B28+1),0)</f>
        <v>0</v>
      </c>
      <c r="I28" s="23">
        <f>IF(AND(5&gt;=$B28,5&lt;=$C28),-$D28/($C28-$B28+1),0)</f>
        <v>0</v>
      </c>
      <c r="J28" s="23">
        <f>IF(AND(6&gt;=$B28,6&lt;=$C28),-$D28/($C28-$B28+1),0)</f>
        <v>0</v>
      </c>
      <c r="K28" s="23">
        <f>IF(AND(7&gt;=$B28,7&lt;=$C28),-$D28/($C28-$B28+1),0)</f>
        <v>0</v>
      </c>
      <c r="L28" s="23">
        <f>IF(AND(8&gt;=$B28,8&lt;=$C28),-$D28/($C28-$B28+1),0)</f>
        <v>0</v>
      </c>
      <c r="M28" s="23">
        <f>IF(AND(9&gt;=$B28,9&lt;=$C28),-$D28/($C28-$B28+1),0)</f>
        <v>0</v>
      </c>
      <c r="N28" s="23">
        <f>IF(AND(10&gt;=$B28,10&lt;=$C28),-$D28/($C28-$B28+1),0)</f>
        <v>0</v>
      </c>
      <c r="O28" s="23">
        <f>IF(AND(11&gt;=$B28,11&lt;=$C28),-$D28/($C28-$B28+1),0)</f>
        <v>0</v>
      </c>
      <c r="P28" s="23">
        <f>IF(AND(12&gt;=$B28,12&lt;=$C28),-$D28/($C28-$B28+1),0)</f>
        <v>0</v>
      </c>
      <c r="Q28" s="23">
        <f>IF(AND(13&gt;=$B28,13&lt;=$C28),-$D28/($C28-$B28+1),0)</f>
        <v>0</v>
      </c>
      <c r="R28" s="23">
        <f>IF(AND(14&gt;=$B28,14&lt;=$C28),-$D28/($C28-$B28+1),0)</f>
        <v>0</v>
      </c>
      <c r="S28" s="23">
        <f>IF(AND(15&gt;=$B28,15&lt;=$C28),-$D28/($C28-$B28+1),0)</f>
        <v>0</v>
      </c>
      <c r="T28" s="23">
        <f>IF(AND(16&gt;=$B28,16&lt;=$C28),-$D28/($C28-$B28+1),0)</f>
        <v>0</v>
      </c>
      <c r="U28" s="23">
        <f>IF(AND(17&gt;=$B28,17&lt;=$C28),-$D28/($C28-$B28+1),0)</f>
        <v>0</v>
      </c>
      <c r="V28" s="23">
        <f>IF(AND(18&gt;=$B28,18&lt;=$C28),-$D28/($C28-$B28+1),0)</f>
        <v>-108000</v>
      </c>
      <c r="W28" s="23">
        <f>IF(AND(19&gt;=$B28,19&lt;=$C28),-$D28/($C28-$B28+1),0)</f>
        <v>-108000</v>
      </c>
      <c r="X28" s="23">
        <f>IF(AND(20&gt;=$B28,20&lt;=$C28),-$D28/($C28-$B28+1),0)</f>
        <v>0</v>
      </c>
      <c r="Y28" s="23">
        <f>IF(AND(21&gt;=$B28,21&lt;=$C28),-$D28/($C28-$B28+1),0)</f>
        <v>0</v>
      </c>
      <c r="Z28" s="23">
        <f>IF(AND(22&gt;=$B28,22&lt;=$C28),-$D28/($C28-$B28+1),0)</f>
        <v>0</v>
      </c>
      <c r="AA28" s="23">
        <f>IF(AND(23&gt;=$B28,23&lt;=$C28),-$D28/($C28-$B28+1),0)</f>
        <v>0</v>
      </c>
      <c r="AB28" s="23">
        <f>IF(AND(24&gt;=$B28,24&lt;=$C28),-$D28/($C28-$B28+1),0)</f>
        <v>0</v>
      </c>
      <c r="AC28" s="23">
        <f>IF(AND(25&gt;=$B28,25&lt;=$C28),-$D28/($C28-$B28+1),0)</f>
        <v>0</v>
      </c>
      <c r="AD28" s="23">
        <f>IF(AND(26&gt;=$B28,26&lt;=$C28),-$D28/($C28-$B28+1),0)</f>
        <v>0</v>
      </c>
      <c r="AE28" s="23">
        <f>IF(AND(27&gt;=$B28,27&lt;=$C28),-$D28/($C28-$B28+1),0)</f>
        <v>0</v>
      </c>
      <c r="AF28" s="23">
        <f>IF(AND(28&gt;=$B28,28&lt;=$C28),-$D28/($C28-$B28+1),0)</f>
        <v>0</v>
      </c>
      <c r="AG28" s="23">
        <f>IF(AND(29&gt;=$B28,29&lt;=$C28),-$D28/($C28-$B28+1),0)</f>
        <v>0</v>
      </c>
      <c r="AH28" s="23">
        <f>IF(AND(30&gt;=$B28,30&lt;=$C28),-$D28/($C28-$B28+1),0)</f>
        <v>0</v>
      </c>
      <c r="AI28" s="23">
        <f>IF(AND(31&gt;=$B28,31&lt;=$C28),-$D28/($C28-$B28+1),0)</f>
        <v>0</v>
      </c>
      <c r="AJ28" s="23">
        <f>IF(AND(32&gt;=$B28,32&lt;=$C28),-$D28/($C28-$B28+1),0)</f>
        <v>0</v>
      </c>
      <c r="AK28" s="23">
        <f>IF(AND(33&gt;=$B28,33&lt;=$C28),-$D28/($C28-$B28+1),0)</f>
        <v>0</v>
      </c>
      <c r="AL28" s="23">
        <f>IF(AND(34&gt;=$B28,34&lt;=$C28),-$D28/($C28-$B28+1),0)</f>
        <v>0</v>
      </c>
      <c r="AM28" s="23">
        <f>IF(AND(35&gt;=$B28,35&lt;=$C28),-$D28/($C28-$B28+1),0)</f>
        <v>0</v>
      </c>
      <c r="AN28" s="23">
        <f>IF(AND(36&gt;=$B28,36&lt;=$C28),-$D28/($C28-$B28+1),0)</f>
        <v>0</v>
      </c>
    </row>
    <row r="29" spans="1:40">
      <c r="A29" t="s">
        <v>230</v>
      </c>
      <c r="B29" s="26">
        <v>1</v>
      </c>
      <c r="C29" s="26">
        <v>1</v>
      </c>
      <c r="D29" s="23">
        <f>Bilan!B32+Bilan!B33</f>
        <v>281216.46000000002095</v>
      </c>
      <c r="E29" s="23">
        <f>IF(AND(1&gt;=$B29,1&lt;=$C29),-$D29/($C29-$B29+1),0)</f>
        <v>-281216.46000000002095</v>
      </c>
      <c r="F29" s="23">
        <f>IF(AND(2&gt;=$B29,2&lt;=$C29),-$D29/($C29-$B29+1),0)</f>
        <v>0</v>
      </c>
      <c r="G29" s="23">
        <f>IF(AND(3&gt;=$B29,3&lt;=$C29),-$D29/($C29-$B29+1),0)</f>
        <v>0</v>
      </c>
      <c r="H29" s="23">
        <f>IF(AND(4&gt;=$B29,4&lt;=$C29),-$D29/($C29-$B29+1),0)</f>
        <v>0</v>
      </c>
      <c r="I29" s="23">
        <f>IF(AND(5&gt;=$B29,5&lt;=$C29),-$D29/($C29-$B29+1),0)</f>
        <v>0</v>
      </c>
      <c r="J29" s="23">
        <f>IF(AND(6&gt;=$B29,6&lt;=$C29),-$D29/($C29-$B29+1),0)</f>
        <v>0</v>
      </c>
      <c r="K29" s="23">
        <f>IF(AND(7&gt;=$B29,7&lt;=$C29),-$D29/($C29-$B29+1),0)</f>
        <v>0</v>
      </c>
      <c r="L29" s="23">
        <f>IF(AND(8&gt;=$B29,8&lt;=$C29),-$D29/($C29-$B29+1),0)</f>
        <v>0</v>
      </c>
      <c r="M29" s="23">
        <f>IF(AND(9&gt;=$B29,9&lt;=$C29),-$D29/($C29-$B29+1),0)</f>
        <v>0</v>
      </c>
      <c r="N29" s="23">
        <f>IF(AND(10&gt;=$B29,10&lt;=$C29),-$D29/($C29-$B29+1),0)</f>
        <v>0</v>
      </c>
      <c r="O29" s="23">
        <f>IF(AND(11&gt;=$B29,11&lt;=$C29),-$D29/($C29-$B29+1),0)</f>
        <v>0</v>
      </c>
      <c r="P29" s="23">
        <f>IF(AND(12&gt;=$B29,12&lt;=$C29),-$D29/($C29-$B29+1),0)</f>
        <v>0</v>
      </c>
      <c r="Q29" s="23">
        <f>IF(AND(13&gt;=$B29,13&lt;=$C29),-$D29/($C29-$B29+1),0)</f>
        <v>0</v>
      </c>
      <c r="R29" s="23">
        <f>IF(AND(14&gt;=$B29,14&lt;=$C29),-$D29/($C29-$B29+1),0)</f>
        <v>0</v>
      </c>
      <c r="S29" s="23">
        <f>IF(AND(15&gt;=$B29,15&lt;=$C29),-$D29/($C29-$B29+1),0)</f>
        <v>0</v>
      </c>
      <c r="T29" s="23">
        <f>IF(AND(16&gt;=$B29,16&lt;=$C29),-$D29/($C29-$B29+1),0)</f>
        <v>0</v>
      </c>
      <c r="U29" s="23">
        <f>IF(AND(17&gt;=$B29,17&lt;=$C29),-$D29/($C29-$B29+1),0)</f>
        <v>0</v>
      </c>
      <c r="V29" s="23">
        <f>IF(AND(18&gt;=$B29,18&lt;=$C29),-$D29/($C29-$B29+1),0)</f>
        <v>0</v>
      </c>
      <c r="W29" s="23">
        <f>IF(AND(19&gt;=$B29,19&lt;=$C29),-$D29/($C29-$B29+1),0)</f>
        <v>0</v>
      </c>
      <c r="X29" s="23">
        <f>IF(AND(20&gt;=$B29,20&lt;=$C29),-$D29/($C29-$B29+1),0)</f>
        <v>0</v>
      </c>
      <c r="Y29" s="23">
        <f>IF(AND(21&gt;=$B29,21&lt;=$C29),-$D29/($C29-$B29+1),0)</f>
        <v>0</v>
      </c>
      <c r="Z29" s="23">
        <f>IF(AND(22&gt;=$B29,22&lt;=$C29),-$D29/($C29-$B29+1),0)</f>
        <v>0</v>
      </c>
      <c r="AA29" s="23">
        <f>IF(AND(23&gt;=$B29,23&lt;=$C29),-$D29/($C29-$B29+1),0)</f>
        <v>0</v>
      </c>
      <c r="AB29" s="23">
        <f>IF(AND(24&gt;=$B29,24&lt;=$C29),-$D29/($C29-$B29+1),0)</f>
        <v>0</v>
      </c>
      <c r="AC29" s="23">
        <f>IF(AND(25&gt;=$B29,25&lt;=$C29),-$D29/($C29-$B29+1),0)</f>
        <v>0</v>
      </c>
      <c r="AD29" s="23">
        <f>IF(AND(26&gt;=$B29,26&lt;=$C29),-$D29/($C29-$B29+1),0)</f>
        <v>0</v>
      </c>
      <c r="AE29" s="23">
        <f>IF(AND(27&gt;=$B29,27&lt;=$C29),-$D29/($C29-$B29+1),0)</f>
        <v>0</v>
      </c>
      <c r="AF29" s="23">
        <f>IF(AND(28&gt;=$B29,28&lt;=$C29),-$D29/($C29-$B29+1),0)</f>
        <v>0</v>
      </c>
      <c r="AG29" s="23">
        <f>IF(AND(29&gt;=$B29,29&lt;=$C29),-$D29/($C29-$B29+1),0)</f>
        <v>0</v>
      </c>
      <c r="AH29" s="23">
        <f>IF(AND(30&gt;=$B29,30&lt;=$C29),-$D29/($C29-$B29+1),0)</f>
        <v>0</v>
      </c>
      <c r="AI29" s="23">
        <f>IF(AND(31&gt;=$B29,31&lt;=$C29),-$D29/($C29-$B29+1),0)</f>
        <v>0</v>
      </c>
      <c r="AJ29" s="23">
        <f>IF(AND(32&gt;=$B29,32&lt;=$C29),-$D29/($C29-$B29+1),0)</f>
        <v>0</v>
      </c>
      <c r="AK29" s="23">
        <f>IF(AND(33&gt;=$B29,33&lt;=$C29),-$D29/($C29-$B29+1),0)</f>
        <v>0</v>
      </c>
      <c r="AL29" s="23">
        <f>IF(AND(34&gt;=$B29,34&lt;=$C29),-$D29/($C29-$B29+1),0)</f>
        <v>0</v>
      </c>
      <c r="AM29" s="23">
        <f>IF(AND(35&gt;=$B29,35&lt;=$C29),-$D29/($C29-$B29+1),0)</f>
        <v>0</v>
      </c>
      <c r="AN29" s="23">
        <f>IF(AND(36&gt;=$B29,36&lt;=$C29),-$D29/($C29-$B29+1),0)</f>
        <v>0</v>
      </c>
    </row>
    <row r="30" spans="1:40">
      <c r="A30" t="s">
        <v>231</v>
      </c>
      <c r="D30" s="23">
        <f>Bilan!B30+Bilan!B31</f>
        <v>5536735.95000000018626</v>
      </c>
      <c r="E30" s="23">
        <f>IF(1='Hypothèses'!$C$70,-$D30,0)</f>
        <v>0</v>
      </c>
      <c r="F30" s="23">
        <f>IF(2='Hypothèses'!$C$70,-$D30,0)</f>
        <v>0</v>
      </c>
      <c r="G30" s="23">
        <f>IF(3='Hypothèses'!$C$70,-$D30,0)</f>
        <v>0</v>
      </c>
      <c r="H30" s="23">
        <f>IF(4='Hypothèses'!$C$70,-$D30,0)</f>
        <v>0</v>
      </c>
      <c r="I30" s="23">
        <f>IF(5='Hypothèses'!$C$70,-$D30,0)</f>
        <v>0</v>
      </c>
      <c r="J30" s="23">
        <f>IF(6='Hypothèses'!$C$70,-$D30,0)</f>
        <v>0</v>
      </c>
      <c r="K30" s="23">
        <f>IF(7='Hypothèses'!$C$70,-$D30,0)</f>
        <v>0</v>
      </c>
      <c r="L30" s="23">
        <f>IF(8='Hypothèses'!$C$70,-$D30,0)</f>
        <v>0</v>
      </c>
      <c r="M30" s="23">
        <f>IF(9='Hypothèses'!$C$70,-$D30,0)</f>
        <v>0</v>
      </c>
      <c r="N30" s="23">
        <f>IF(10='Hypothèses'!$C$70,-$D30,0)</f>
        <v>0</v>
      </c>
      <c r="O30" s="23">
        <f>IF(11='Hypothèses'!$C$70,-$D30,0)</f>
        <v>0</v>
      </c>
      <c r="P30" s="23">
        <f>IF(12='Hypothèses'!$C$70,-$D30,0)</f>
        <v>0</v>
      </c>
      <c r="Q30" s="23">
        <f>IF(13='Hypothèses'!$C$70,-$D30,0)</f>
        <v>0</v>
      </c>
      <c r="R30" s="23">
        <f>IF(14='Hypothèses'!$C$70,-$D30,0)</f>
        <v>0</v>
      </c>
      <c r="S30" s="23">
        <f>IF(15='Hypothèses'!$C$70,-$D30,0)</f>
        <v>0</v>
      </c>
      <c r="T30" s="23">
        <f>IF(16='Hypothèses'!$C$70,-$D30,0)</f>
        <v>0</v>
      </c>
      <c r="U30" s="23">
        <f>IF(17='Hypothèses'!$C$70,-$D30,0)</f>
        <v>0</v>
      </c>
      <c r="V30" s="23">
        <f>IF(18='Hypothèses'!$C$70,-$D30,0)</f>
        <v>0</v>
      </c>
      <c r="W30" s="23">
        <f>IF(19='Hypothèses'!$C$70,-$D30,0)</f>
        <v>0</v>
      </c>
      <c r="X30" s="23">
        <f>IF(20='Hypothèses'!$C$70,-$D30,0)</f>
        <v>-5536735.95000000018626</v>
      </c>
      <c r="Y30" s="23">
        <f>IF(21='Hypothèses'!$C$70,-$D30,0)</f>
        <v>0</v>
      </c>
      <c r="Z30" s="23">
        <f>IF(22='Hypothèses'!$C$70,-$D30,0)</f>
        <v>0</v>
      </c>
      <c r="AA30" s="23">
        <f>IF(23='Hypothèses'!$C$70,-$D30,0)</f>
        <v>0</v>
      </c>
      <c r="AB30" s="23">
        <f>IF(24='Hypothèses'!$C$70,-$D30,0)</f>
        <v>0</v>
      </c>
      <c r="AC30" s="23">
        <f>IF(25='Hypothèses'!$C$70,-$D30,0)</f>
        <v>0</v>
      </c>
      <c r="AD30" s="23">
        <f>IF(26='Hypothèses'!$C$70,-$D30,0)</f>
        <v>0</v>
      </c>
      <c r="AE30" s="23">
        <f>IF(27='Hypothèses'!$C$70,-$D30,0)</f>
        <v>0</v>
      </c>
      <c r="AF30" s="23">
        <f>IF(28='Hypothèses'!$C$70,-$D30,0)</f>
        <v>0</v>
      </c>
      <c r="AG30" s="23">
        <f>IF(29='Hypothèses'!$C$70,-$D30,0)</f>
        <v>0</v>
      </c>
      <c r="AH30" s="23">
        <f>IF(30='Hypothèses'!$C$70,-$D30,0)</f>
        <v>0</v>
      </c>
      <c r="AI30" s="23">
        <f>IF(31='Hypothèses'!$C$70,-$D30,0)</f>
        <v>0</v>
      </c>
      <c r="AJ30" s="23">
        <f>IF(32='Hypothèses'!$C$70,-$D30,0)</f>
        <v>0</v>
      </c>
      <c r="AK30" s="23">
        <f>IF(33='Hypothèses'!$C$70,-$D30,0)</f>
        <v>0</v>
      </c>
      <c r="AL30" s="23">
        <f>IF(34='Hypothèses'!$C$70,-$D30,0)</f>
        <v>0</v>
      </c>
      <c r="AM30" s="23">
        <f>IF(35='Hypothèses'!$C$70,-$D30,0)</f>
        <v>0</v>
      </c>
      <c r="AN30" s="23">
        <f>IF(36='Hypothèses'!$C$70,-$D30,0)</f>
        <v>0</v>
      </c>
    </row>
    <row r="31" spans="1:40">
      <c r="A31" t="s">
        <v>232</v>
      </c>
      <c r="D31" s="23">
        <f>Bilan!B37-Bilan!B38</f>
        <v>2091079.83333333209157</v>
      </c>
      <c r="E31" s="23">
        <f>IF(1='Hypothèses'!$C$70+1,-$D31,0)</f>
        <v>0</v>
      </c>
      <c r="F31" s="23">
        <f>IF(2='Hypothèses'!$C$70+1,-$D31,0)</f>
        <v>0</v>
      </c>
      <c r="G31" s="23">
        <f>IF(3='Hypothèses'!$C$70+1,-$D31,0)</f>
        <v>0</v>
      </c>
      <c r="H31" s="23">
        <f>IF(4='Hypothèses'!$C$70+1,-$D31,0)</f>
        <v>0</v>
      </c>
      <c r="I31" s="23">
        <f>IF(5='Hypothèses'!$C$70+1,-$D31,0)</f>
        <v>0</v>
      </c>
      <c r="J31" s="23">
        <f>IF(6='Hypothèses'!$C$70+1,-$D31,0)</f>
        <v>0</v>
      </c>
      <c r="K31" s="23">
        <f>IF(7='Hypothèses'!$C$70+1,-$D31,0)</f>
        <v>0</v>
      </c>
      <c r="L31" s="23">
        <f>IF(8='Hypothèses'!$C$70+1,-$D31,0)</f>
        <v>0</v>
      </c>
      <c r="M31" s="23">
        <f>IF(9='Hypothèses'!$C$70+1,-$D31,0)</f>
        <v>0</v>
      </c>
      <c r="N31" s="23">
        <f>IF(10='Hypothèses'!$C$70+1,-$D31,0)</f>
        <v>0</v>
      </c>
      <c r="O31" s="23">
        <f>IF(11='Hypothèses'!$C$70+1,-$D31,0)</f>
        <v>0</v>
      </c>
      <c r="P31" s="23">
        <f>IF(12='Hypothèses'!$C$70+1,-$D31,0)</f>
        <v>0</v>
      </c>
      <c r="Q31" s="23">
        <f>IF(13='Hypothèses'!$C$70+1,-$D31,0)</f>
        <v>0</v>
      </c>
      <c r="R31" s="23">
        <f>IF(14='Hypothèses'!$C$70+1,-$D31,0)</f>
        <v>0</v>
      </c>
      <c r="S31" s="23">
        <f>IF(15='Hypothèses'!$C$70+1,-$D31,0)</f>
        <v>0</v>
      </c>
      <c r="T31" s="23">
        <f>IF(16='Hypothèses'!$C$70+1,-$D31,0)</f>
        <v>0</v>
      </c>
      <c r="U31" s="23">
        <f>IF(17='Hypothèses'!$C$70+1,-$D31,0)</f>
        <v>0</v>
      </c>
      <c r="V31" s="23">
        <f>IF(18='Hypothèses'!$C$70+1,-$D31,0)</f>
        <v>0</v>
      </c>
      <c r="W31" s="23">
        <f>IF(19='Hypothèses'!$C$70+1,-$D31,0)</f>
        <v>0</v>
      </c>
      <c r="X31" s="23">
        <f>IF(20='Hypothèses'!$C$70+1,-$D31,0)</f>
        <v>0</v>
      </c>
      <c r="Y31" s="23">
        <f>IF(21='Hypothèses'!$C$70+1,-$D31,0)</f>
        <v>-2091079.83333333209157</v>
      </c>
      <c r="Z31" s="23">
        <f>IF(22='Hypothèses'!$C$70+1,-$D31,0)</f>
        <v>0</v>
      </c>
      <c r="AA31" s="23">
        <f>IF(23='Hypothèses'!$C$70+1,-$D31,0)</f>
        <v>0</v>
      </c>
      <c r="AB31" s="23">
        <f>IF(24='Hypothèses'!$C$70+1,-$D31,0)</f>
        <v>0</v>
      </c>
      <c r="AC31" s="23">
        <f>IF(25='Hypothèses'!$C$70+1,-$D31,0)</f>
        <v>0</v>
      </c>
      <c r="AD31" s="23">
        <f>IF(26='Hypothèses'!$C$70+1,-$D31,0)</f>
        <v>0</v>
      </c>
      <c r="AE31" s="23">
        <f>IF(27='Hypothèses'!$C$70+1,-$D31,0)</f>
        <v>0</v>
      </c>
      <c r="AF31" s="23">
        <f>IF(28='Hypothèses'!$C$70+1,-$D31,0)</f>
        <v>0</v>
      </c>
      <c r="AG31" s="23">
        <f>IF(29='Hypothèses'!$C$70+1,-$D31,0)</f>
        <v>0</v>
      </c>
      <c r="AH31" s="23">
        <f>IF(30='Hypothèses'!$C$70+1,-$D31,0)</f>
        <v>0</v>
      </c>
      <c r="AI31" s="23">
        <f>IF(31='Hypothèses'!$C$70+1,-$D31,0)</f>
        <v>0</v>
      </c>
      <c r="AJ31" s="23">
        <f>IF(32='Hypothèses'!$C$70+1,-$D31,0)</f>
        <v>0</v>
      </c>
      <c r="AK31" s="23">
        <f>IF(33='Hypothèses'!$C$70+1,-$D31,0)</f>
        <v>0</v>
      </c>
      <c r="AL31" s="23">
        <f>IF(34='Hypothèses'!$C$70+1,-$D31,0)</f>
        <v>0</v>
      </c>
      <c r="AM31" s="23">
        <f>IF(35='Hypothèses'!$C$70+1,-$D31,0)</f>
        <v>0</v>
      </c>
      <c r="AN31" s="23">
        <f>IF(36='Hypothèses'!$C$70+1,-$D31,0)</f>
        <v>0</v>
      </c>
    </row>
    <row r="32" spans="1:40">
      <c r="A32" t="s">
        <v>233</v>
      </c>
      <c r="D32" s="23">
        <f>Bilan!B44</f>
        <v>1100629.1058333334513</v>
      </c>
      <c r="E32" s="23">
        <f>IF(1='Hypothèses'!$C$70+2,-$D32,0)</f>
        <v>0</v>
      </c>
      <c r="F32" s="23">
        <f>IF(2='Hypothèses'!$C$70+2,-$D32,0)</f>
        <v>0</v>
      </c>
      <c r="G32" s="23">
        <f>IF(3='Hypothèses'!$C$70+2,-$D32,0)</f>
        <v>0</v>
      </c>
      <c r="H32" s="23">
        <f>IF(4='Hypothèses'!$C$70+2,-$D32,0)</f>
        <v>0</v>
      </c>
      <c r="I32" s="23">
        <f>IF(5='Hypothèses'!$C$70+2,-$D32,0)</f>
        <v>0</v>
      </c>
      <c r="J32" s="23">
        <f>IF(6='Hypothèses'!$C$70+2,-$D32,0)</f>
        <v>0</v>
      </c>
      <c r="K32" s="23">
        <f>IF(7='Hypothèses'!$C$70+2,-$D32,0)</f>
        <v>0</v>
      </c>
      <c r="L32" s="23">
        <f>IF(8='Hypothèses'!$C$70+2,-$D32,0)</f>
        <v>0</v>
      </c>
      <c r="M32" s="23">
        <f>IF(9='Hypothèses'!$C$70+2,-$D32,0)</f>
        <v>0</v>
      </c>
      <c r="N32" s="23">
        <f>IF(10='Hypothèses'!$C$70+2,-$D32,0)</f>
        <v>0</v>
      </c>
      <c r="O32" s="23">
        <f>IF(11='Hypothèses'!$C$70+2,-$D32,0)</f>
        <v>0</v>
      </c>
      <c r="P32" s="23">
        <f>IF(12='Hypothèses'!$C$70+2,-$D32,0)</f>
        <v>0</v>
      </c>
      <c r="Q32" s="23">
        <f>IF(13='Hypothèses'!$C$70+2,-$D32,0)</f>
        <v>0</v>
      </c>
      <c r="R32" s="23">
        <f>IF(14='Hypothèses'!$C$70+2,-$D32,0)</f>
        <v>0</v>
      </c>
      <c r="S32" s="23">
        <f>IF(15='Hypothèses'!$C$70+2,-$D32,0)</f>
        <v>0</v>
      </c>
      <c r="T32" s="23">
        <f>IF(16='Hypothèses'!$C$70+2,-$D32,0)</f>
        <v>0</v>
      </c>
      <c r="U32" s="23">
        <f>IF(17='Hypothèses'!$C$70+2,-$D32,0)</f>
        <v>0</v>
      </c>
      <c r="V32" s="23">
        <f>IF(18='Hypothèses'!$C$70+2,-$D32,0)</f>
        <v>0</v>
      </c>
      <c r="W32" s="23">
        <f>IF(19='Hypothèses'!$C$70+2,-$D32,0)</f>
        <v>0</v>
      </c>
      <c r="X32" s="23">
        <f>IF(20='Hypothèses'!$C$70+2,-$D32,0)</f>
        <v>0</v>
      </c>
      <c r="Y32" s="23">
        <f>IF(21='Hypothèses'!$C$70+2,-$D32,0)</f>
        <v>0</v>
      </c>
      <c r="Z32" s="23">
        <f>IF(22='Hypothèses'!$C$70+2,-$D32,0)</f>
        <v>-1100629.1058333334513</v>
      </c>
      <c r="AA32" s="23">
        <f>IF(23='Hypothèses'!$C$70+2,-$D32,0)</f>
        <v>0</v>
      </c>
      <c r="AB32" s="23">
        <f>IF(24='Hypothèses'!$C$70+2,-$D32,0)</f>
        <v>0</v>
      </c>
      <c r="AC32" s="23">
        <f>IF(25='Hypothèses'!$C$70+2,-$D32,0)</f>
        <v>0</v>
      </c>
      <c r="AD32" s="23">
        <f>IF(26='Hypothèses'!$C$70+2,-$D32,0)</f>
        <v>0</v>
      </c>
      <c r="AE32" s="23">
        <f>IF(27='Hypothèses'!$C$70+2,-$D32,0)</f>
        <v>0</v>
      </c>
      <c r="AF32" s="23">
        <f>IF(28='Hypothèses'!$C$70+2,-$D32,0)</f>
        <v>0</v>
      </c>
      <c r="AG32" s="23">
        <f>IF(29='Hypothèses'!$C$70+2,-$D32,0)</f>
        <v>0</v>
      </c>
      <c r="AH32" s="23">
        <f>IF(30='Hypothèses'!$C$70+2,-$D32,0)</f>
        <v>0</v>
      </c>
      <c r="AI32" s="23">
        <f>IF(31='Hypothèses'!$C$70+2,-$D32,0)</f>
        <v>0</v>
      </c>
      <c r="AJ32" s="23">
        <f>IF(32='Hypothèses'!$C$70+2,-$D32,0)</f>
        <v>0</v>
      </c>
      <c r="AK32" s="23">
        <f>IF(33='Hypothèses'!$C$70+2,-$D32,0)</f>
        <v>0</v>
      </c>
      <c r="AL32" s="23">
        <f>IF(34='Hypothèses'!$C$70+2,-$D32,0)</f>
        <v>0</v>
      </c>
      <c r="AM32" s="23">
        <f>IF(35='Hypothèses'!$C$70+2,-$D32,0)</f>
        <v>0</v>
      </c>
      <c r="AN32" s="23">
        <f>IF(36='Hypothèses'!$C$70+2,-$D32,0)</f>
        <v>0</v>
      </c>
    </row>
    <row r="33" spans="1:40"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>
      <c r="A34" s="1" t="s">
        <v>234</v>
      </c>
      <c r="B34" s="1"/>
      <c r="C34" s="1"/>
      <c r="D34" s="25"/>
      <c r="E34" s="25">
        <f>SUM(E6:E9)+SUM(E12:E32)</f>
        <v>3330346.87333333306015</v>
      </c>
      <c r="F34" s="25">
        <f>SUM(F6:F9)+SUM(F12:F32)</f>
        <v>-91513.88888888887595</v>
      </c>
      <c r="G34" s="25">
        <f>SUM(G6:G9)+SUM(G12:G32)</f>
        <v>-165775.13888888887595</v>
      </c>
      <c r="H34" s="25">
        <f>SUM(H6:H9)+SUM(H12:H32)</f>
        <v>-204314.93055555553292</v>
      </c>
      <c r="I34" s="25">
        <f>SUM(I6:I9)+SUM(I12:I32)</f>
        <v>-159203.81944444443798</v>
      </c>
      <c r="J34" s="25">
        <f>SUM(J6:J9)+SUM(J12:J32)</f>
        <v>-159203.81944444443798</v>
      </c>
      <c r="K34" s="25">
        <f>SUM(K6:K9)+SUM(K12:K32)</f>
        <v>-152537.15277777778101</v>
      </c>
      <c r="L34" s="25">
        <f>SUM(L6:L9)+SUM(L12:L32)</f>
        <v>-153648.26388888887595</v>
      </c>
      <c r="M34" s="25">
        <f>SUM(M6:M9)+SUM(M12:M32)</f>
        <v>-153648.26388888887595</v>
      </c>
      <c r="N34" s="25">
        <f>SUM(N6:N9)+SUM(N12:N32)</f>
        <v>-153648.26388888887595</v>
      </c>
      <c r="O34" s="25">
        <f>SUM(O6:O9)+SUM(O12:O32)</f>
        <v>-153648.26388888887595</v>
      </c>
      <c r="P34" s="25">
        <f>SUM(P6:P9)+SUM(P12:P32)</f>
        <v>-153648.26388888887595</v>
      </c>
      <c r="Q34" s="25">
        <f>SUM(Q6:Q9)+SUM(Q12:Q32)</f>
        <v>-143731.59722222221899</v>
      </c>
      <c r="R34" s="25">
        <f>SUM(R6:R9)+SUM(R12:R32)</f>
        <v>-145384.375</v>
      </c>
      <c r="S34" s="25">
        <f>SUM(S6:S9)+SUM(S12:S32)</f>
        <v>-165384.375</v>
      </c>
      <c r="T34" s="25">
        <f>SUM(T6:T9)+SUM(T12:T32)</f>
        <v>-219717.70833333331393</v>
      </c>
      <c r="U34" s="25">
        <f>SUM(U6:U9)+SUM(U12:U32)</f>
        <v>-242606.59722222218988</v>
      </c>
      <c r="V34" s="25">
        <f>SUM(V6:V9)+SUM(V12:V32)</f>
        <v>-325189.93055555550382</v>
      </c>
      <c r="W34" s="25">
        <f>SUM(W6:W9)+SUM(W12:W32)</f>
        <v>-61595.34722222222626</v>
      </c>
      <c r="X34" s="25">
        <f>SUM(X6:X9)+SUM(X12:X32)</f>
        <v>7014659.71666666585952</v>
      </c>
      <c r="Y34" s="25">
        <f>SUM(Y6:Y9)+SUM(Y12:Y32)</f>
        <v>-2088463.16666666534729</v>
      </c>
      <c r="Z34" s="25">
        <f>SUM(Z6:Z9)+SUM(Z12:Z32)</f>
        <v>-1100629.1058333334513</v>
      </c>
      <c r="AA34" s="25">
        <f>SUM(AA6:AA9)+SUM(AA12:AA32)</f>
        <v>0</v>
      </c>
      <c r="AB34" s="25">
        <f>SUM(AB6:AB9)+SUM(AB12:AB32)</f>
        <v>0</v>
      </c>
      <c r="AC34" s="25">
        <f>SUM(AC6:AC9)+SUM(AC12:AC32)</f>
        <v>0</v>
      </c>
      <c r="AD34" s="25">
        <f>SUM(AD6:AD9)+SUM(AD12:AD32)</f>
        <v>0</v>
      </c>
      <c r="AE34" s="25">
        <f>SUM(AE6:AE9)+SUM(AE12:AE32)</f>
        <v>0</v>
      </c>
      <c r="AF34" s="25">
        <f>SUM(AF6:AF9)+SUM(AF12:AF32)</f>
        <v>0</v>
      </c>
      <c r="AG34" s="25">
        <f>SUM(AG6:AG9)+SUM(AG12:AG32)</f>
        <v>0</v>
      </c>
      <c r="AH34" s="25">
        <f>SUM(AH6:AH9)+SUM(AH12:AH32)</f>
        <v>0</v>
      </c>
      <c r="AI34" s="25">
        <f>SUM(AI6:AI9)+SUM(AI12:AI32)</f>
        <v>0</v>
      </c>
      <c r="AJ34" s="25">
        <f>SUM(AJ6:AJ9)+SUM(AJ12:AJ32)</f>
        <v>0</v>
      </c>
      <c r="AK34" s="25">
        <f>SUM(AK6:AK9)+SUM(AK12:AK32)</f>
        <v>0</v>
      </c>
      <c r="AL34" s="25">
        <f>SUM(AL6:AL9)+SUM(AL12:AL32)</f>
        <v>0</v>
      </c>
      <c r="AM34" s="25">
        <f>SUM(AM6:AM9)+SUM(AM12:AM32)</f>
        <v>0</v>
      </c>
      <c r="AN34" s="25">
        <f>SUM(AN6:AN9)+SUM(AN12:AN32)</f>
        <v>0</v>
      </c>
    </row>
    <row r="35" spans="1:40">
      <c r="A35" s="1" t="s">
        <v>235</v>
      </c>
      <c r="B35" s="1"/>
      <c r="C35" s="1"/>
      <c r="D35" s="25"/>
      <c r="E35" s="25">
        <f>E34</f>
        <v>3330346.87333333306015</v>
      </c>
      <c r="F35" s="25">
        <f>E35+F34</f>
        <v>3238832.98444444406778</v>
      </c>
      <c r="G35" s="25">
        <f>F35+G34</f>
        <v>3073057.84555555507541</v>
      </c>
      <c r="H35" s="25">
        <f>G35+H34</f>
        <v>2868742.91499999957159</v>
      </c>
      <c r="I35" s="25">
        <f>H35+I34</f>
        <v>2709539.095555555075407</v>
      </c>
      <c r="J35" s="25">
        <f>I35+J34</f>
        <v>2550335.27611111057922</v>
      </c>
      <c r="K35" s="25">
        <f>J35+K34</f>
        <v>2397798.12333333259448</v>
      </c>
      <c r="L35" s="25">
        <f>K35+L34</f>
        <v>2244149.85944444360211</v>
      </c>
      <c r="M35" s="25">
        <f>L35+M34</f>
        <v>2090501.59555555460975</v>
      </c>
      <c r="N35" s="25">
        <f>M35+N34</f>
        <v>1936853.33166666561738</v>
      </c>
      <c r="O35" s="25">
        <f>N35+O34</f>
        <v>1783205.067777776625007</v>
      </c>
      <c r="P35" s="25">
        <f>O35+P34</f>
        <v>1629556.80388888763264</v>
      </c>
      <c r="Q35" s="25">
        <f>P35+Q34</f>
        <v>1485825.20666666538455</v>
      </c>
      <c r="R35" s="25">
        <f>Q35+R34</f>
        <v>1340440.83166666538455</v>
      </c>
      <c r="S35" s="25">
        <f>R35+S34</f>
        <v>1175056.45666666538455</v>
      </c>
      <c r="T35" s="25">
        <f>S35+T34</f>
        <v>955338.74833333212882</v>
      </c>
      <c r="U35" s="25">
        <f>T35+U34</f>
        <v>712732.15111110988073</v>
      </c>
      <c r="V35" s="25">
        <f>U35+V34</f>
        <v>387542.22055555437692</v>
      </c>
      <c r="W35" s="25">
        <f>V35+W34</f>
        <v>325946.87333333212882</v>
      </c>
      <c r="X35" s="25">
        <f>W35+X34</f>
        <v>7340606.58999999798834</v>
      </c>
      <c r="Y35" s="25">
        <f>X35+Y34</f>
        <v>5252143.42333333287388</v>
      </c>
      <c r="Z35" s="25">
        <f>Y35+Z34</f>
        <v>4151514.31749999942258</v>
      </c>
      <c r="AA35" s="25">
        <f>Z35+AA34</f>
        <v>4151514.31749999942258</v>
      </c>
      <c r="AB35" s="25">
        <f>AA35+AB34</f>
        <v>4151514.31749999942258</v>
      </c>
      <c r="AC35" s="25">
        <f>AB35+AC34</f>
        <v>4151514.31749999942258</v>
      </c>
      <c r="AD35" s="25">
        <f>AC35+AD34</f>
        <v>4151514.31749999942258</v>
      </c>
      <c r="AE35" s="25">
        <f>AD35+AE34</f>
        <v>4151514.31749999942258</v>
      </c>
      <c r="AF35" s="25">
        <f>AE35+AF34</f>
        <v>4151514.31749999942258</v>
      </c>
      <c r="AG35" s="25">
        <f>AF35+AG34</f>
        <v>4151514.31749999942258</v>
      </c>
      <c r="AH35" s="25">
        <f>AG35+AH34</f>
        <v>4151514.31749999942258</v>
      </c>
      <c r="AI35" s="25">
        <f>AH35+AI34</f>
        <v>4151514.31749999942258</v>
      </c>
      <c r="AJ35" s="25">
        <f>AI35+AJ34</f>
        <v>4151514.31749999942258</v>
      </c>
      <c r="AK35" s="25">
        <f>AJ35+AK34</f>
        <v>4151514.31749999942258</v>
      </c>
      <c r="AL35" s="25">
        <f>AK35+AL34</f>
        <v>4151514.31749999942258</v>
      </c>
      <c r="AM35" s="25">
        <f>AL35+AM34</f>
        <v>4151514.31749999942258</v>
      </c>
      <c r="AN35" s="25">
        <f>AM35+AN34</f>
        <v>4151514.31749999942258</v>
      </c>
    </row>
    <row r="37" spans="1:40">
      <c r="A37" t="s">
        <v>236</v>
      </c>
    </row>
  </sheetData>
  <conditionalFormatting sqref="E35:AN35">
    <cfRule type="cellIs" dxfId="0" priority="1" operator="lessThan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selection activeCell="B21" sqref="B21:F24"/>
    </sheetView>
  </sheetViews>
  <sheetFormatPr defaultRowHeight="14.4" outlineLevelRow="0" outlineLevelCol="0"/>
  <cols>
    <col min="1" max="1" width="58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2" t="s">
        <v>237</v>
      </c>
    </row>
    <row r="2" spans="1:6">
      <c r="A2" t="s">
        <v>238</v>
      </c>
    </row>
    <row r="4" spans="1:6">
      <c r="A4" s="3" t="s">
        <v>243</v>
      </c>
      <c r="B4" s="30">
        <f>'Hypothèses'!$C$37</f>
        <v>13000</v>
      </c>
      <c r="C4" s="30">
        <f>ROUND((B4+D4)/2,0)</f>
        <v>14134</v>
      </c>
      <c r="D4" s="30">
        <f>'Hypothèses'!$C$38</f>
        <v>15268</v>
      </c>
      <c r="E4" s="30">
        <f>ROUND((D4+F4)/2,0)</f>
        <v>17134</v>
      </c>
      <c r="F4" s="30">
        <f>'Hypothèses'!$C$39</f>
        <v>19000</v>
      </c>
    </row>
    <row r="5" spans="1:6">
      <c r="A5" s="31">
        <v>-0.1</v>
      </c>
      <c r="B5" s="10">
        <f>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-MAX(0,(IF('Hypothèses'!$C$42&gt;=0.5,Bilan!$B$40*B$4-(Bilan!$B$40*B$4-Bilan!$B$6)*('Hypothèses'!$C$40/100)/(1+('Hypothèses'!$C$40/100)),Bilan!$B$40*B$4/(1+('Hypothèses'!$C$40/100)))-($B$14+IF('Hypothèses'!$C$42&gt;=0.5,$A5*$B$17,$A5*$B$17/(1+('Hypothèses'!$C$41/100))))-($B$15+$B$16*$A5*$B$17))*('Hypothèses'!$C$71/100))</f>
        <v>2329062.54825000045821</v>
      </c>
      <c r="C5" s="10">
        <f>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-MAX(0,(IF('Hypothèses'!$C$42&gt;=0.5,Bilan!$B$40*C$4-(Bilan!$B$40*C$4-Bilan!$B$6)*('Hypothèses'!$C$40/100)/(1+('Hypothèses'!$C$40/100)),Bilan!$B$40*C$4/(1+('Hypothèses'!$C$40/100)))-($B$14+IF('Hypothèses'!$C$42&gt;=0.5,$A5*$B$17,$A5*$B$17/(1+('Hypothèses'!$C$41/100))))-($B$15+$B$16*$A5*$B$17))*('Hypothèses'!$C$71/100))</f>
        <v>2911477.86075000045821</v>
      </c>
      <c r="D5" s="10">
        <f>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-MAX(0,(IF('Hypothèses'!$C$42&gt;=0.5,Bilan!$B$40*D$4-(Bilan!$B$40*D$4-Bilan!$B$6)*('Hypothèses'!$C$40/100)/(1+('Hypothèses'!$C$40/100)),Bilan!$B$40*D$4/(1+('Hypothèses'!$C$40/100)))-($B$14+IF('Hypothèses'!$C$42&gt;=0.5,$A5*$B$17,$A5*$B$17/(1+('Hypothèses'!$C$41/100))))-($B$15+$B$16*$A5*$B$17))*('Hypothèses'!$C$71/100))</f>
        <v>3493893.17325000045821</v>
      </c>
      <c r="E5" s="10">
        <f>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-MAX(0,(IF('Hypothèses'!$C$42&gt;=0.5,Bilan!$B$40*E$4-(Bilan!$B$40*E$4-Bilan!$B$6)*('Hypothèses'!$C$40/100)/(1+('Hypothèses'!$C$40/100)),Bilan!$B$40*E$4/(1+('Hypothèses'!$C$40/100)))-($B$14+IF('Hypothèses'!$C$42&gt;=0.5,$A5*$B$17,$A5*$B$17/(1+('Hypothèses'!$C$41/100))))-($B$15+$B$16*$A5*$B$17))*('Hypothèses'!$C$71/100))</f>
        <v>4452259.11075000092387</v>
      </c>
      <c r="F5" s="10">
        <f>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-MAX(0,(IF('Hypothèses'!$C$42&gt;=0.5,Bilan!$B$40*F$4-(Bilan!$B$40*F$4-Bilan!$B$6)*('Hypothèses'!$C$40/100)/(1+('Hypothèses'!$C$40/100)),Bilan!$B$40*F$4/(1+('Hypothèses'!$C$40/100)))-($B$14+IF('Hypothèses'!$C$42&gt;=0.5,$A5*$B$17,$A5*$B$17/(1+('Hypothèses'!$C$41/100))))-($B$15+$B$16*$A5*$B$17))*('Hypothèses'!$C$71/100))</f>
        <v>5410625.048250000923872</v>
      </c>
    </row>
    <row r="6" spans="1:6">
      <c r="A6" s="31">
        <v>-0.05</v>
      </c>
      <c r="B6" s="10">
        <f>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-MAX(0,(IF('Hypothèses'!$C$42&gt;=0.5,Bilan!$B$40*B$4-(Bilan!$B$40*B$4-Bilan!$B$6)*('Hypothèses'!$C$40/100)/(1+('Hypothèses'!$C$40/100)),Bilan!$B$40*B$4/(1+('Hypothèses'!$C$40/100)))-($B$14+IF('Hypothèses'!$C$42&gt;=0.5,$A6*$B$17,$A6*$B$17/(1+('Hypothèses'!$C$41/100))))-($B$15+$B$16*$A6*$B$17))*('Hypothèses'!$C$71/100))</f>
        <v>2233059.6203749999404</v>
      </c>
      <c r="C6" s="10">
        <f>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-MAX(0,(IF('Hypothèses'!$C$42&gt;=0.5,Bilan!$B$40*C$4-(Bilan!$B$40*C$4-Bilan!$B$6)*('Hypothèses'!$C$40/100)/(1+('Hypothèses'!$C$40/100)),Bilan!$B$40*C$4/(1+('Hypothèses'!$C$40/100)))-($B$14+IF('Hypothèses'!$C$42&gt;=0.5,$A6*$B$17,$A6*$B$17/(1+('Hypothèses'!$C$41/100))))-($B$15+$B$16*$A6*$B$17))*('Hypothèses'!$C$71/100))</f>
        <v>2815474.9328749999404</v>
      </c>
      <c r="D6" s="10">
        <f>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-MAX(0,(IF('Hypothèses'!$C$42&gt;=0.5,Bilan!$B$40*D$4-(Bilan!$B$40*D$4-Bilan!$B$6)*('Hypothèses'!$C$40/100)/(1+('Hypothèses'!$C$40/100)),Bilan!$B$40*D$4/(1+('Hypothèses'!$C$40/100)))-($B$14+IF('Hypothèses'!$C$42&gt;=0.5,$A6*$B$17,$A6*$B$17/(1+('Hypothèses'!$C$41/100))))-($B$15+$B$16*$A6*$B$17))*('Hypothèses'!$C$71/100))</f>
        <v>3397890.24537500040606</v>
      </c>
      <c r="E6" s="10">
        <f>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-MAX(0,(IF('Hypothèses'!$C$42&gt;=0.5,Bilan!$B$40*E$4-(Bilan!$B$40*E$4-Bilan!$B$6)*('Hypothèses'!$C$40/100)/(1+('Hypothèses'!$C$40/100)),Bilan!$B$40*E$4/(1+('Hypothèses'!$C$40/100)))-($B$14+IF('Hypothèses'!$C$42&gt;=0.5,$A6*$B$17,$A6*$B$17/(1+('Hypothèses'!$C$41/100))))-($B$15+$B$16*$A6*$B$17))*('Hypothèses'!$C$71/100))</f>
        <v>4356256.1828749999404</v>
      </c>
      <c r="F6" s="10">
        <f>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-MAX(0,(IF('Hypothèses'!$C$42&gt;=0.5,Bilan!$B$40*F$4-(Bilan!$B$40*F$4-Bilan!$B$6)*('Hypothèses'!$C$40/100)/(1+('Hypothèses'!$C$40/100)),Bilan!$B$40*F$4/(1+('Hypothèses'!$C$40/100)))-($B$14+IF('Hypothèses'!$C$42&gt;=0.5,$A6*$B$17,$A6*$B$17/(1+('Hypothèses'!$C$41/100))))-($B$15+$B$16*$A6*$B$17))*('Hypothèses'!$C$71/100))</f>
        <v>5314622.1203749999404</v>
      </c>
    </row>
    <row r="7" spans="1:6">
      <c r="A7" s="31">
        <v>0</v>
      </c>
      <c r="B7" s="10">
        <f>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-MAX(0,(IF('Hypothèses'!$C$42&gt;=0.5,Bilan!$B$40*B$4-(Bilan!$B$40*B$4-Bilan!$B$6)*('Hypothèses'!$C$40/100)/(1+('Hypothèses'!$C$40/100)),Bilan!$B$40*B$4/(1+('Hypothèses'!$C$40/100)))-($B$14+IF('Hypothèses'!$C$42&gt;=0.5,$A7*$B$17,$A7*$B$17/(1+('Hypothèses'!$C$41/100))))-($B$15+$B$16*$A7*$B$17))*('Hypothèses'!$C$71/100))</f>
        <v>2137056.6925000003539</v>
      </c>
      <c r="C7" s="10">
        <f>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-MAX(0,(IF('Hypothèses'!$C$42&gt;=0.5,Bilan!$B$40*C$4-(Bilan!$B$40*C$4-Bilan!$B$6)*('Hypothèses'!$C$40/100)/(1+('Hypothèses'!$C$40/100)),Bilan!$B$40*C$4/(1+('Hypothèses'!$C$40/100)))-($B$14+IF('Hypothèses'!$C$42&gt;=0.5,$A7*$B$17,$A7*$B$17/(1+('Hypothèses'!$C$41/100))))-($B$15+$B$16*$A7*$B$17))*('Hypothèses'!$C$71/100))</f>
        <v>2719472.0050000003539026</v>
      </c>
      <c r="D7" s="10">
        <f>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-MAX(0,(IF('Hypothèses'!$C$42&gt;=0.5,Bilan!$B$40*D$4-(Bilan!$B$40*D$4-Bilan!$B$6)*('Hypothèses'!$C$40/100)/(1+('Hypothèses'!$C$40/100)),Bilan!$B$40*D$4/(1+('Hypothèses'!$C$40/100)))-($B$14+IF('Hypothèses'!$C$42&gt;=0.5,$A7*$B$17,$A7*$B$17/(1+('Hypothèses'!$C$41/100))))-($B$15+$B$16*$A7*$B$17))*('Hypothèses'!$C$71/100))</f>
        <v>3301887.3175000003539</v>
      </c>
      <c r="E7" s="10">
        <f>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-MAX(0,(IF('Hypothèses'!$C$42&gt;=0.5,Bilan!$B$40*E$4-(Bilan!$B$40*E$4-Bilan!$B$6)*('Hypothèses'!$C$40/100)/(1+('Hypothèses'!$C$40/100)),Bilan!$B$40*E$4/(1+('Hypothèses'!$C$40/100)))-($B$14+IF('Hypothèses'!$C$42&gt;=0.5,$A7*$B$17,$A7*$B$17/(1+('Hypothèses'!$C$41/100))))-($B$15+$B$16*$A7*$B$17))*('Hypothèses'!$C$71/100))</f>
        <v>4260253.25500000081956</v>
      </c>
      <c r="F7" s="10">
        <f>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-MAX(0,(IF('Hypothèses'!$C$42&gt;=0.5,Bilan!$B$40*F$4-(Bilan!$B$40*F$4-Bilan!$B$6)*('Hypothèses'!$C$40/100)/(1+('Hypothèses'!$C$40/100)),Bilan!$B$40*F$4/(1+('Hypothèses'!$C$40/100)))-($B$14+IF('Hypothèses'!$C$42&gt;=0.5,$A7*$B$17,$A7*$B$17/(1+('Hypothèses'!$C$41/100))))-($B$15+$B$16*$A7*$B$17))*('Hypothèses'!$C$71/100))</f>
        <v>5218619.19250000081956</v>
      </c>
    </row>
    <row r="8" spans="1:6">
      <c r="A8" s="31">
        <v>0.05</v>
      </c>
      <c r="B8" s="10">
        <f>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-MAX(0,(IF('Hypothèses'!$C$42&gt;=0.5,Bilan!$B$40*B$4-(Bilan!$B$40*B$4-Bilan!$B$6)*('Hypothèses'!$C$40/100)/(1+('Hypothèses'!$C$40/100)),Bilan!$B$40*B$4/(1+('Hypothèses'!$C$40/100)))-($B$14+IF('Hypothèses'!$C$42&gt;=0.5,$A8*$B$17,$A8*$B$17/(1+('Hypothèses'!$C$41/100))))-($B$15+$B$16*$A8*$B$17))*('Hypothèses'!$C$71/100))</f>
        <v>2041053.76462500076741</v>
      </c>
      <c r="C8" s="10">
        <f>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-MAX(0,(IF('Hypothèses'!$C$42&gt;=0.5,Bilan!$B$40*C$4-(Bilan!$B$40*C$4-Bilan!$B$6)*('Hypothèses'!$C$40/100)/(1+('Hypothèses'!$C$40/100)),Bilan!$B$40*C$4/(1+('Hypothèses'!$C$40/100)))-($B$14+IF('Hypothèses'!$C$42&gt;=0.5,$A8*$B$17,$A8*$B$17/(1+('Hypothèses'!$C$41/100))))-($B$15+$B$16*$A8*$B$17))*('Hypothèses'!$C$71/100))</f>
        <v>2623469.07712500076741</v>
      </c>
      <c r="D8" s="10">
        <f>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-MAX(0,(IF('Hypothèses'!$C$42&gt;=0.5,Bilan!$B$40*D$4-(Bilan!$B$40*D$4-Bilan!$B$6)*('Hypothèses'!$C$40/100)/(1+('Hypothèses'!$C$40/100)),Bilan!$B$40*D$4/(1+('Hypothèses'!$C$40/100)))-($B$14+IF('Hypothèses'!$C$42&gt;=0.5,$A8*$B$17,$A8*$B$17/(1+('Hypothèses'!$C$41/100))))-($B$15+$B$16*$A8*$B$17))*('Hypothèses'!$C$71/100))</f>
        <v>3205884.38962500030175</v>
      </c>
      <c r="E8" s="10">
        <f>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-MAX(0,(IF('Hypothèses'!$C$42&gt;=0.5,Bilan!$B$40*E$4-(Bilan!$B$40*E$4-Bilan!$B$6)*('Hypothèses'!$C$40/100)/(1+('Hypothèses'!$C$40/100)),Bilan!$B$40*E$4/(1+('Hypothèses'!$C$40/100)))-($B$14+IF('Hypothèses'!$C$42&gt;=0.5,$A8*$B$17,$A8*$B$17/(1+('Hypothèses'!$C$41/100))))-($B$15+$B$16*$A8*$B$17))*('Hypothèses'!$C$71/100))</f>
        <v>4164250.32712500030175</v>
      </c>
      <c r="F8" s="10">
        <f>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-MAX(0,(IF('Hypothèses'!$C$42&gt;=0.5,Bilan!$B$40*F$4-(Bilan!$B$40*F$4-Bilan!$B$6)*('Hypothèses'!$C$40/100)/(1+('Hypothèses'!$C$40/100)),Bilan!$B$40*F$4/(1+('Hypothèses'!$C$40/100)))-($B$14+IF('Hypothèses'!$C$42&gt;=0.5,$A8*$B$17,$A8*$B$17/(1+('Hypothèses'!$C$41/100))))-($B$15+$B$16*$A8*$B$17))*('Hypothèses'!$C$71/100))</f>
        <v>5122616.26462499983609</v>
      </c>
    </row>
    <row r="9" spans="1:6">
      <c r="A9" s="31">
        <v>0.1</v>
      </c>
      <c r="B9" s="10">
        <f>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-MAX(0,(IF('Hypothèses'!$C$42&gt;=0.5,Bilan!$B$40*B$4-(Bilan!$B$40*B$4-Bilan!$B$6)*('Hypothèses'!$C$40/100)/(1+('Hypothèses'!$C$40/100)),Bilan!$B$40*B$4/(1+('Hypothèses'!$C$40/100)))-($B$14+IF('Hypothèses'!$C$42&gt;=0.5,$A9*$B$17,$A9*$B$17/(1+('Hypothèses'!$C$41/100))))-($B$15+$B$16*$A9*$B$17))*('Hypothèses'!$C$71/100))</f>
        <v>1945050.83675000024959</v>
      </c>
      <c r="C9" s="10">
        <f>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-MAX(0,(IF('Hypothèses'!$C$42&gt;=0.5,Bilan!$B$40*C$4-(Bilan!$B$40*C$4-Bilan!$B$6)*('Hypothèses'!$C$40/100)/(1+('Hypothèses'!$C$40/100)),Bilan!$B$40*C$4/(1+('Hypothèses'!$C$40/100)))-($B$14+IF('Hypothèses'!$C$42&gt;=0.5,$A9*$B$17,$A9*$B$17/(1+('Hypothèses'!$C$41/100))))-($B$15+$B$16*$A9*$B$17))*('Hypothèses'!$C$71/100))</f>
        <v>2527466.14925000024959</v>
      </c>
      <c r="D9" s="10">
        <f>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-MAX(0,(IF('Hypothèses'!$C$42&gt;=0.5,Bilan!$B$40*D$4-(Bilan!$B$40*D$4-Bilan!$B$6)*('Hypothèses'!$C$40/100)/(1+('Hypothèses'!$C$40/100)),Bilan!$B$40*D$4/(1+('Hypothèses'!$C$40/100)))-($B$14+IF('Hypothèses'!$C$42&gt;=0.5,$A9*$B$17,$A9*$B$17/(1+('Hypothèses'!$C$41/100))))-($B$15+$B$16*$A9*$B$17))*('Hypothèses'!$C$71/100))</f>
        <v>3109881.46175000024959</v>
      </c>
      <c r="E9" s="10">
        <f>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-MAX(0,(IF('Hypothèses'!$C$42&gt;=0.5,Bilan!$B$40*E$4-(Bilan!$B$40*E$4-Bilan!$B$6)*('Hypothèses'!$C$40/100)/(1+('Hypothèses'!$C$40/100)),Bilan!$B$40*E$4/(1+('Hypothèses'!$C$40/100)))-($B$14+IF('Hypothèses'!$C$42&gt;=0.5,$A9*$B$17,$A9*$B$17/(1+('Hypothèses'!$C$41/100))))-($B$15+$B$16*$A9*$B$17))*('Hypothèses'!$C$71/100))</f>
        <v>4068247.39925000024959</v>
      </c>
      <c r="F9" s="10">
        <f>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-MAX(0,(IF('Hypothèses'!$C$42&gt;=0.5,Bilan!$B$40*F$4-(Bilan!$B$40*F$4-Bilan!$B$6)*('Hypothèses'!$C$40/100)/(1+('Hypothèses'!$C$40/100)),Bilan!$B$40*F$4/(1+('Hypothèses'!$C$40/100)))-($B$14+IF('Hypothèses'!$C$42&gt;=0.5,$A9*$B$17,$A9*$B$17/(1+('Hypothèses'!$C$41/100))))-($B$15+$B$16*$A9*$B$17))*('Hypothèses'!$C$71/100))</f>
        <v>5026613.33675000071526</v>
      </c>
    </row>
    <row r="11" spans="1:6">
      <c r="A11" s="1" t="s">
        <v>244</v>
      </c>
      <c r="B11" s="32">
        <f>IF('Hypothèses'!$C$42&gt;=0.5,(($B$14+$B$15)*(1+('Hypothèses'!$C$40/100))-Bilan!$B$6*('Hypothèses'!$C$40/100))/Bilan!$B$40,($B$14+$B$15)*(1+('Hypothèses'!$C$40/100))/Bilan!$B$40)</f>
        <v>8839.013437176758089</v>
      </c>
    </row>
    <row r="12" spans="1:6">
      <c r="A12" t="s">
        <v>245</v>
      </c>
    </row>
    <row r="13" spans="1:6">
      <c r="A13" s="1" t="s">
        <v>239</v>
      </c>
    </row>
    <row r="14" spans="1:6">
      <c r="A14" t="s">
        <v>240</v>
      </c>
      <c r="B14" s="10">
        <f>Bilan!C25</f>
        <v>5049483.33333333395422</v>
      </c>
    </row>
    <row r="15" spans="1:6">
      <c r="A15" t="s">
        <v>4</v>
      </c>
      <c r="B15" s="10">
        <f>Bilan!B34</f>
        <v>1003399.41000000014901</v>
      </c>
    </row>
    <row r="16" spans="1:6">
      <c r="A16" t="s">
        <v>241</v>
      </c>
      <c r="B16" s="29">
        <f>(1-'Hypothèses'!$C$66/100)*'Hypothèses'!$C$64/100*'Hypothèses'!$C$65/12+'Hypothèses'!$C$67/100</f>
        <v>0.1745</v>
      </c>
    </row>
    <row r="17" spans="1:6">
      <c r="A17" t="s">
        <v>242</v>
      </c>
      <c r="B17" s="10">
        <f>Bilan!B10*(1+'Hypothèses'!$C$55/100)</f>
        <v>2540180</v>
      </c>
    </row>
    <row r="20" spans="1:6">
      <c r="A20" s="3" t="s">
        <v>246</v>
      </c>
      <c r="B20" s="30">
        <f>B4</f>
        <v>13000</v>
      </c>
      <c r="C20" s="30">
        <f>C4</f>
        <v>14134</v>
      </c>
      <c r="D20" s="30">
        <f>D4</f>
        <v>15268</v>
      </c>
      <c r="E20" s="30">
        <f>E4</f>
        <v>17134</v>
      </c>
      <c r="F20" s="30">
        <f>F4</f>
        <v>19000</v>
      </c>
    </row>
    <row r="21" spans="1:6">
      <c r="A21" s="33">
        <f>Bilan!$B$40-20</f>
        <v>801.75</v>
      </c>
      <c r="B21" s="10">
        <f>(IF('Hypothèses'!$C$42&gt;=0.5,$A21*B$20-($A21*B$20-Bilan!$B$6)*('Hypothèses'!$C$40/100)/(1+('Hypothèses'!$C$40/100)),$A21*B$20/(1+('Hypothèses'!$C$40/100)))-$B$14-$B$15)-MAX(0,(IF('Hypothèses'!$C$42&gt;=0.5,$A21*B$20-($A21*B$20-Bilan!$B$6)*('Hypothèses'!$C$40/100)/(1+('Hypothèses'!$C$40/100)),$A21*B$20/(1+('Hypothèses'!$C$40/100)))-$B$14-$B$15)*('Hypothèses'!$C$71/100))</f>
        <v>1974556.69249999942258</v>
      </c>
      <c r="C21" s="10">
        <f>(IF('Hypothèses'!$C$42&gt;=0.5,$A21*C$20-($A21*C$20-Bilan!$B$6)*('Hypothèses'!$C$40/100)/(1+('Hypothèses'!$C$40/100)),$A21*C$20/(1+('Hypothèses'!$C$40/100)))-$B$14-$B$15)-MAX(0,(IF('Hypothèses'!$C$42&gt;=0.5,$A21*C$20-($A21*C$20-Bilan!$B$6)*('Hypothèses'!$C$40/100)/(1+('Hypothèses'!$C$40/100)),$A21*C$20/(1+('Hypothèses'!$C$40/100)))-$B$14-$B$15)*('Hypothèses'!$C$71/100))</f>
        <v>2542797.00499999942258</v>
      </c>
      <c r="D21" s="10">
        <f>(IF('Hypothèses'!$C$42&gt;=0.5,$A21*D$20-($A21*D$20-Bilan!$B$6)*('Hypothèses'!$C$40/100)/(1+('Hypothèses'!$C$40/100)),$A21*D$20/(1+('Hypothèses'!$C$40/100)))-$B$14-$B$15)-MAX(0,(IF('Hypothèses'!$C$42&gt;=0.5,$A21*D$20-($A21*D$20-Bilan!$B$6)*('Hypothèses'!$C$40/100)/(1+('Hypothèses'!$C$40/100)),$A21*D$20/(1+('Hypothèses'!$C$40/100)))-$B$14-$B$15)*('Hypothèses'!$C$71/100))</f>
        <v>3111037.31749999942258</v>
      </c>
      <c r="E21" s="10">
        <f>(IF('Hypothèses'!$C$42&gt;=0.5,$A21*E$20-($A21*E$20-Bilan!$B$6)*('Hypothèses'!$C$40/100)/(1+('Hypothèses'!$C$40/100)),$A21*E$20/(1+('Hypothèses'!$C$40/100)))-$B$14-$B$15)-MAX(0,(IF('Hypothèses'!$C$42&gt;=0.5,$A21*E$20-($A21*E$20-Bilan!$B$6)*('Hypothèses'!$C$40/100)/(1+('Hypothèses'!$C$40/100)),$A21*E$20/(1+('Hypothèses'!$C$40/100)))-$B$14-$B$15)*('Hypothèses'!$C$71/100))</f>
        <v>4046078.25499999942258</v>
      </c>
      <c r="F21" s="10">
        <f>(IF('Hypothèses'!$C$42&gt;=0.5,$A21*F$20-($A21*F$20-Bilan!$B$6)*('Hypothèses'!$C$40/100)/(1+('Hypothèses'!$C$40/100)),$A21*F$20/(1+('Hypothèses'!$C$40/100)))-$B$14-$B$15)-MAX(0,(IF('Hypothèses'!$C$42&gt;=0.5,$A21*F$20-($A21*F$20-Bilan!$B$6)*('Hypothèses'!$C$40/100)/(1+('Hypothèses'!$C$40/100)),$A21*F$20/(1+('Hypothèses'!$C$40/100)))-$B$14-$B$15)*('Hypothèses'!$C$71/100))</f>
        <v>4981119.19249999895692</v>
      </c>
    </row>
    <row r="22" spans="1:6">
      <c r="A22" s="33">
        <f>Bilan!$B$40-10</f>
        <v>811.75</v>
      </c>
      <c r="B22" s="10">
        <f>(IF('Hypothèses'!$C$42&gt;=0.5,$A22*B$20-($A22*B$20-Bilan!$B$6)*('Hypothèses'!$C$40/100)/(1+('Hypothèses'!$C$40/100)),$A22*B$20/(1+('Hypothèses'!$C$40/100)))-$B$14-$B$15)-MAX(0,(IF('Hypothèses'!$C$42&gt;=0.5,$A22*B$20-($A22*B$20-Bilan!$B$6)*('Hypothèses'!$C$40/100)/(1+('Hypothèses'!$C$40/100)),$A22*B$20/(1+('Hypothèses'!$C$40/100)))-$B$14-$B$15)*('Hypothèses'!$C$71/100))</f>
        <v>2055806.69249999988824</v>
      </c>
      <c r="C22" s="10">
        <f>(IF('Hypothèses'!$C$42&gt;=0.5,$A22*C$20-($A22*C$20-Bilan!$B$6)*('Hypothèses'!$C$40/100)/(1+('Hypothèses'!$C$40/100)),$A22*C$20/(1+('Hypothèses'!$C$40/100)))-$B$14-$B$15)-MAX(0,(IF('Hypothèses'!$C$42&gt;=0.5,$A22*C$20-($A22*C$20-Bilan!$B$6)*('Hypothèses'!$C$40/100)/(1+('Hypothèses'!$C$40/100)),$A22*C$20/(1+('Hypothèses'!$C$40/100)))-$B$14-$B$15)*('Hypothèses'!$C$71/100))</f>
        <v>2631134.50499999988824</v>
      </c>
      <c r="D22" s="10">
        <f>(IF('Hypothèses'!$C$42&gt;=0.5,$A22*D$20-($A22*D$20-Bilan!$B$6)*('Hypothèses'!$C$40/100)/(1+('Hypothèses'!$C$40/100)),$A22*D$20/(1+('Hypothèses'!$C$40/100)))-$B$14-$B$15)-MAX(0,(IF('Hypothèses'!$C$42&gt;=0.5,$A22*D$20-($A22*D$20-Bilan!$B$6)*('Hypothèses'!$C$40/100)/(1+('Hypothèses'!$C$40/100)),$A22*D$20/(1+('Hypothèses'!$C$40/100)))-$B$14-$B$15)*('Hypothèses'!$C$71/100))</f>
        <v>3206462.31749999988824</v>
      </c>
      <c r="E22" s="10">
        <f>(IF('Hypothèses'!$C$42&gt;=0.5,$A22*E$20-($A22*E$20-Bilan!$B$6)*('Hypothèses'!$C$40/100)/(1+('Hypothèses'!$C$40/100)),$A22*E$20/(1+('Hypothèses'!$C$40/100)))-$B$14-$B$15)-MAX(0,(IF('Hypothèses'!$C$42&gt;=0.5,$A22*E$20-($A22*E$20-Bilan!$B$6)*('Hypothèses'!$C$40/100)/(1+('Hypothèses'!$C$40/100)),$A22*E$20/(1+('Hypothèses'!$C$40/100)))-$B$14-$B$15)*('Hypothèses'!$C$71/100))</f>
        <v>4153165.75499999988824</v>
      </c>
      <c r="F22" s="10">
        <f>(IF('Hypothèses'!$C$42&gt;=0.5,$A22*F$20-($A22*F$20-Bilan!$B$6)*('Hypothèses'!$C$40/100)/(1+('Hypothèses'!$C$40/100)),$A22*F$20/(1+('Hypothèses'!$C$40/100)))-$B$14-$B$15)-MAX(0,(IF('Hypothèses'!$C$42&gt;=0.5,$A22*F$20-($A22*F$20-Bilan!$B$6)*('Hypothèses'!$C$40/100)/(1+('Hypothèses'!$C$40/100)),$A22*F$20/(1+('Hypothèses'!$C$40/100)))-$B$14-$B$15)*('Hypothèses'!$C$71/100))</f>
        <v>5099869.19249999988824</v>
      </c>
    </row>
    <row r="23" spans="1:6">
      <c r="A23" s="33">
        <f>Bilan!$B$40+0</f>
        <v>821.75</v>
      </c>
      <c r="B23" s="10">
        <f>(IF('Hypothèses'!$C$42&gt;=0.5,$A23*B$20-($A23*B$20-Bilan!$B$6)*('Hypothèses'!$C$40/100)/(1+('Hypothèses'!$C$40/100)),$A23*B$20/(1+('Hypothèses'!$C$40/100)))-$B$14-$B$15)-MAX(0,(IF('Hypothèses'!$C$42&gt;=0.5,$A23*B$20-($A23*B$20-Bilan!$B$6)*('Hypothèses'!$C$40/100)/(1+('Hypothèses'!$C$40/100)),$A23*B$20/(1+('Hypothèses'!$C$40/100)))-$B$14-$B$15)*('Hypothèses'!$C$71/100))</f>
        <v>2137056.6925000003539</v>
      </c>
      <c r="C23" s="10">
        <f>(IF('Hypothèses'!$C$42&gt;=0.5,$A23*C$20-($A23*C$20-Bilan!$B$6)*('Hypothèses'!$C$40/100)/(1+('Hypothèses'!$C$40/100)),$A23*C$20/(1+('Hypothèses'!$C$40/100)))-$B$14-$B$15)-MAX(0,(IF('Hypothèses'!$C$42&gt;=0.5,$A23*C$20-($A23*C$20-Bilan!$B$6)*('Hypothèses'!$C$40/100)/(1+('Hypothèses'!$C$40/100)),$A23*C$20/(1+('Hypothèses'!$C$40/100)))-$B$14-$B$15)*('Hypothèses'!$C$71/100))</f>
        <v>2719472.0050000003539026</v>
      </c>
      <c r="D23" s="10">
        <f>(IF('Hypothèses'!$C$42&gt;=0.5,$A23*D$20-($A23*D$20-Bilan!$B$6)*('Hypothèses'!$C$40/100)/(1+('Hypothèses'!$C$40/100)),$A23*D$20/(1+('Hypothèses'!$C$40/100)))-$B$14-$B$15)-MAX(0,(IF('Hypothèses'!$C$42&gt;=0.5,$A23*D$20-($A23*D$20-Bilan!$B$6)*('Hypothèses'!$C$40/100)/(1+('Hypothèses'!$C$40/100)),$A23*D$20/(1+('Hypothèses'!$C$40/100)))-$B$14-$B$15)*('Hypothèses'!$C$71/100))</f>
        <v>3301887.3175000003539</v>
      </c>
      <c r="E23" s="10">
        <f>(IF('Hypothèses'!$C$42&gt;=0.5,$A23*E$20-($A23*E$20-Bilan!$B$6)*('Hypothèses'!$C$40/100)/(1+('Hypothèses'!$C$40/100)),$A23*E$20/(1+('Hypothèses'!$C$40/100)))-$B$14-$B$15)-MAX(0,(IF('Hypothèses'!$C$42&gt;=0.5,$A23*E$20-($A23*E$20-Bilan!$B$6)*('Hypothèses'!$C$40/100)/(1+('Hypothèses'!$C$40/100)),$A23*E$20/(1+('Hypothèses'!$C$40/100)))-$B$14-$B$15)*('Hypothèses'!$C$71/100))</f>
        <v>4260253.25500000081956</v>
      </c>
      <c r="F23" s="10">
        <f>(IF('Hypothèses'!$C$42&gt;=0.5,$A23*F$20-($A23*F$20-Bilan!$B$6)*('Hypothèses'!$C$40/100)/(1+('Hypothèses'!$C$40/100)),$A23*F$20/(1+('Hypothèses'!$C$40/100)))-$B$14-$B$15)-MAX(0,(IF('Hypothèses'!$C$42&gt;=0.5,$A23*F$20-($A23*F$20-Bilan!$B$6)*('Hypothèses'!$C$40/100)/(1+('Hypothèses'!$C$40/100)),$A23*F$20/(1+('Hypothèses'!$C$40/100)))-$B$14-$B$15)*('Hypothèses'!$C$71/100))</f>
        <v>5218619.19250000081956</v>
      </c>
    </row>
    <row r="24" spans="1:6">
      <c r="A24" s="33">
        <f>Bilan!$B$40+10</f>
        <v>831.75</v>
      </c>
      <c r="B24" s="10">
        <f>(IF('Hypothèses'!$C$42&gt;=0.5,$A24*B$20-($A24*B$20-Bilan!$B$6)*('Hypothèses'!$C$40/100)/(1+('Hypothèses'!$C$40/100)),$A24*B$20/(1+('Hypothèses'!$C$40/100)))-$B$14-$B$15)-MAX(0,(IF('Hypothèses'!$C$42&gt;=0.5,$A24*B$20-($A24*B$20-Bilan!$B$6)*('Hypothèses'!$C$40/100)/(1+('Hypothèses'!$C$40/100)),$A24*B$20/(1+('Hypothèses'!$C$40/100)))-$B$14-$B$15)*('Hypothèses'!$C$71/100))</f>
        <v>2218306.69249999942258</v>
      </c>
      <c r="C24" s="10">
        <f>(IF('Hypothèses'!$C$42&gt;=0.5,$A24*C$20-($A24*C$20-Bilan!$B$6)*('Hypothèses'!$C$40/100)/(1+('Hypothèses'!$C$40/100)),$A24*C$20/(1+('Hypothèses'!$C$40/100)))-$B$14-$B$15)-MAX(0,(IF('Hypothèses'!$C$42&gt;=0.5,$A24*C$20-($A24*C$20-Bilan!$B$6)*('Hypothèses'!$C$40/100)/(1+('Hypothèses'!$C$40/100)),$A24*C$20/(1+('Hypothèses'!$C$40/100)))-$B$14-$B$15)*('Hypothèses'!$C$71/100))</f>
        <v>2807809.50499999942258</v>
      </c>
      <c r="D24" s="10">
        <f>(IF('Hypothèses'!$C$42&gt;=0.5,$A24*D$20-($A24*D$20-Bilan!$B$6)*('Hypothèses'!$C$40/100)/(1+('Hypothèses'!$C$40/100)),$A24*D$20/(1+('Hypothèses'!$C$40/100)))-$B$14-$B$15)-MAX(0,(IF('Hypothèses'!$C$42&gt;=0.5,$A24*D$20-($A24*D$20-Bilan!$B$6)*('Hypothèses'!$C$40/100)/(1+('Hypothèses'!$C$40/100)),$A24*D$20/(1+('Hypothèses'!$C$40/100)))-$B$14-$B$15)*('Hypothèses'!$C$71/100))</f>
        <v>3397312.31749999942258</v>
      </c>
      <c r="E24" s="10">
        <f>(IF('Hypothèses'!$C$42&gt;=0.5,$A24*E$20-($A24*E$20-Bilan!$B$6)*('Hypothèses'!$C$40/100)/(1+('Hypothèses'!$C$40/100)),$A24*E$20/(1+('Hypothèses'!$C$40/100)))-$B$14-$B$15)-MAX(0,(IF('Hypothèses'!$C$42&gt;=0.5,$A24*E$20-($A24*E$20-Bilan!$B$6)*('Hypothèses'!$C$40/100)/(1+('Hypothèses'!$C$40/100)),$A24*E$20/(1+('Hypothèses'!$C$40/100)))-$B$14-$B$15)*('Hypothèses'!$C$71/100))</f>
        <v>4367340.75499999895692</v>
      </c>
      <c r="F24" s="10">
        <f>(IF('Hypothèses'!$C$42&gt;=0.5,$A24*F$20-($A24*F$20-Bilan!$B$6)*('Hypothèses'!$C$40/100)/(1+('Hypothèses'!$C$40/100)),$A24*F$20/(1+('Hypothèses'!$C$40/100)))-$B$14-$B$15)-MAX(0,(IF('Hypothèses'!$C$42&gt;=0.5,$A24*F$20-($A24*F$20-Bilan!$B$6)*('Hypothèses'!$C$40/100)/(1+('Hypothèses'!$C$40/100)),$A24*F$20/(1+('Hypothèses'!$C$40/100)))-$B$14-$B$15)*('Hypothèses'!$C$71/100))</f>
        <v>5337369.19249999895692</v>
      </c>
    </row>
  </sheetData>
  <conditionalFormatting sqref="B5:F9">
    <cfRule type="cellIs" dxfId="1" priority="1" operator="greaterThanOrEqual">
      <formula>1000000</formula>
    </cfRule>
    <cfRule type="cellIs" dxfId="2" priority="2" operator="lessThan">
      <formula>500000</formula>
    </cfRule>
  </conditionalFormatting>
  <conditionalFormatting sqref="B21:F24">
    <cfRule type="cellIs" dxfId="1" priority="3" operator="greaterThanOrEqual">
      <formula>1000000</formula>
    </cfRule>
    <cfRule type="cellIs" dxfId="2" priority="4" operator="lessThan">
      <formula>500000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247</v>
      </c>
    </row>
    <row r="3" spans="1:13">
      <c r="A3" s="3" t="s">
        <v>248</v>
      </c>
      <c r="B3" s="3" t="s">
        <v>249</v>
      </c>
      <c r="C3" s="3" t="s">
        <v>250</v>
      </c>
      <c r="D3" s="3" t="s">
        <v>251</v>
      </c>
      <c r="E3" s="3"/>
      <c r="F3" s="3"/>
      <c r="G3" s="3" t="s">
        <v>252</v>
      </c>
      <c r="H3" s="3"/>
      <c r="I3" s="3"/>
      <c r="J3" s="3" t="s">
        <v>253</v>
      </c>
      <c r="K3" s="3"/>
      <c r="L3" s="3"/>
    </row>
    <row r="4" spans="1:13">
      <c r="A4" s="3"/>
      <c r="B4" s="3"/>
      <c r="C4" s="3"/>
      <c r="D4" s="3" t="s">
        <v>254</v>
      </c>
      <c r="E4" s="3" t="s">
        <v>255</v>
      </c>
      <c r="F4" s="3" t="s">
        <v>256</v>
      </c>
      <c r="G4" s="3" t="s">
        <v>254</v>
      </c>
      <c r="H4" s="3" t="s">
        <v>255</v>
      </c>
      <c r="I4" s="3" t="s">
        <v>256</v>
      </c>
      <c r="J4" s="3" t="s">
        <v>254</v>
      </c>
      <c r="K4" s="3" t="s">
        <v>255</v>
      </c>
      <c r="L4" s="3" t="s">
        <v>256</v>
      </c>
      <c r="M4" t="s">
        <v>275</v>
      </c>
    </row>
    <row r="5" spans="1:13" customHeight="1" ht="62">
      <c r="A5" t="s">
        <v>257</v>
      </c>
      <c r="B5" t="s">
        <v>258</v>
      </c>
      <c r="C5" s="7" t="s">
        <v>259</v>
      </c>
      <c r="D5" s="10">
        <f>'Rénover-revendre'!F18</f>
        <v>-2233980</v>
      </c>
      <c r="E5" s="10">
        <f>'Rénover-revendre'!I18</f>
        <v>-2233980</v>
      </c>
      <c r="F5" s="10">
        <f>'Rénover-revendre'!L18</f>
        <v>-2233980</v>
      </c>
      <c r="G5" s="13" t="e">
        <f>'Rénover-revendre'!F19</f>
        <v>#DIV/0!</v>
      </c>
      <c r="H5" s="13" t="e">
        <f>'Rénover-revendre'!I19</f>
        <v>#DIV/0!</v>
      </c>
      <c r="I5" s="13" t="e">
        <f>'Rénover-revendre'!L19</f>
        <v>#DIV/0!</v>
      </c>
      <c r="J5" s="10">
        <f>'Rénover-revendre'!F20</f>
        <v>2.3283064365387E-10</v>
      </c>
      <c r="K5" s="10">
        <f>'Rénover-revendre'!I20</f>
        <v>2.3283064365387E-10</v>
      </c>
      <c r="L5" s="10">
        <f>'Rénover-revendre'!L20</f>
        <v>2.3283064365387E-10</v>
      </c>
      <c r="M5">
        <f>IF(OR(B5="Improbable",B5="Impossible"),-1E+15,IF(ISNUMBER(E5),E5,-1E+15))</f>
        <v>-2233980</v>
      </c>
    </row>
    <row r="6" spans="1:13" customHeight="1" ht="62">
      <c r="A6" t="s">
        <v>45</v>
      </c>
      <c r="B6" t="s">
        <v>260</v>
      </c>
      <c r="C6" s="7" t="s">
        <v>261</v>
      </c>
      <c r="D6" s="10">
        <f>'Extension max'!F21</f>
        <v>-566963.625</v>
      </c>
      <c r="E6" s="10">
        <f>'Extension max'!I21</f>
        <v>2210291.875</v>
      </c>
      <c r="F6" s="10">
        <f>'Extension max'!L21</f>
        <v>3762534.375</v>
      </c>
      <c r="G6" s="13">
        <f>'Extension max'!F22</f>
        <v>-0.078591040462428</v>
      </c>
      <c r="H6" s="13">
        <f>'Extension max'!I22</f>
        <v>0.21933482596939</v>
      </c>
      <c r="I6" s="13">
        <f>'Extension max'!L22</f>
        <v>0.32220375722543</v>
      </c>
      <c r="J6" s="10">
        <f>'Extension max'!F23</f>
        <v>560531.08974358974956</v>
      </c>
      <c r="K6" s="10">
        <f>'Extension max'!I23</f>
        <v>2567183.22649572649971</v>
      </c>
      <c r="L6" s="10">
        <f>'Extension max'!L23</f>
        <v>3688725.9615384619683</v>
      </c>
      <c r="M6">
        <f>IF(OR(B6="Improbable",B6="Impossible"),-1E+15,IF(ISNUMBER(E6),E6,-1E+15))</f>
        <v>2210291.875</v>
      </c>
    </row>
    <row r="7" spans="1:13" customHeight="1" ht="62">
      <c r="A7" t="s">
        <v>262</v>
      </c>
      <c r="B7" t="s">
        <v>263</v>
      </c>
      <c r="C7" s="7" t="s">
        <v>264</v>
      </c>
      <c r="D7" t="s">
        <v>265</v>
      </c>
      <c r="M7">
        <f>IF(OR(B7="Improbable",B7="Impossible"),-1E+15,IF(ISNUMBER(E7),E7,-1E+15))</f>
        <v>-1.0E+15</v>
      </c>
    </row>
    <row r="8" spans="1:13" customHeight="1" ht="62">
      <c r="A8" t="s">
        <v>266</v>
      </c>
      <c r="B8" t="s">
        <v>258</v>
      </c>
      <c r="C8" s="7" t="s">
        <v>267</v>
      </c>
      <c r="D8" s="10">
        <f>'Extension + rénovation'!F22</f>
        <v>-2144166</v>
      </c>
      <c r="E8" s="10">
        <f>'Extension + rénovation'!I22</f>
        <v>-1887310</v>
      </c>
      <c r="F8" s="10">
        <f>'Extension + rénovation'!L22</f>
        <v>-1743750</v>
      </c>
      <c r="G8" s="13">
        <f>'Extension + rénovation'!F23</f>
        <v>-3.21367805755396</v>
      </c>
      <c r="H8" s="13">
        <f>'Extension + rénovation'!I23</f>
        <v>-2.025010729613734</v>
      </c>
      <c r="I8" s="13">
        <f>'Extension + rénovation'!L23</f>
        <v>-1.61458333333333</v>
      </c>
      <c r="J8" s="10">
        <f>'Extension + rénovation'!F24</f>
        <v>51841.025641025509685</v>
      </c>
      <c r="K8" s="10">
        <f>'Extension + rénovation'!I24</f>
        <v>237427.35042735026218</v>
      </c>
      <c r="L8" s="10">
        <f>'Extension + rénovation'!L24</f>
        <v>341153.84615384601057</v>
      </c>
      <c r="M8">
        <f>IF(OR(B8="Improbable",B8="Impossible"),-1E+15,IF(ISNUMBER(E8),E8,-1E+15))</f>
        <v>-1887310</v>
      </c>
    </row>
    <row r="9" spans="1:13" customHeight="1" ht="62">
      <c r="A9" t="s">
        <v>268</v>
      </c>
      <c r="B9" t="s">
        <v>263</v>
      </c>
      <c r="C9" s="7" t="s">
        <v>269</v>
      </c>
      <c r="D9" t="s">
        <v>265</v>
      </c>
      <c r="M9">
        <f>IF(OR(B9="Improbable",B9="Impossible"),-1E+15,IF(ISNUMBER(E9),E9,-1E+15))</f>
        <v>-1.0E+15</v>
      </c>
    </row>
    <row r="10" spans="1:13" customHeight="1" ht="62">
      <c r="A10" t="s">
        <v>270</v>
      </c>
      <c r="B10" t="s">
        <v>260</v>
      </c>
      <c r="C10" s="7" t="s">
        <v>271</v>
      </c>
      <c r="D10" s="10">
        <f>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</f>
        <v>2137056.6925000003539</v>
      </c>
      <c r="E10" s="10">
        <f>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</f>
        <v>3301887.3175000003539</v>
      </c>
      <c r="F10" s="10">
        <f>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</f>
        <v>5218619.19250000081956</v>
      </c>
      <c r="G10" s="13">
        <f>((IF('Hypothèses'!$C$42&gt;=0.5,Bilan!$B$40*'Hypothèses'!$C$37-(Bilan!$B$40*'Hypothèses'!$C$37-Bilan!$B$6)*('Hypothèses'!$C$40/100)/(1+('Hypothèses'!$C$40/100)),Bilan!$B$40*'Hypothèses'!$C$37/(1+('Hypothèses'!$C$40/100)))-Bilan!$C$25-Bilan!$B$34)-MAX(0,(IF('Hypothèses'!$C$42&gt;=0.5,Bilan!$B$40*'Hypothèses'!$C$37-(Bilan!$B$40*'Hypothèses'!$C$37-Bilan!$B$6)*('Hypothèses'!$C$40/100)/(1+('Hypothèses'!$C$40/100)),Bilan!$B$40*'Hypothèses'!$C$37/(1+('Hypothèses'!$C$40/100)))-Bilan!$C$25-Bilan!$B$34)*('Hypothèses'!$C$71/100)))/(IF('Hypothèses'!$C$42&gt;=0.5,Bilan!$B$40*'Hypothèses'!$C$37-(Bilan!$B$40*'Hypothèses'!$C$37-Bilan!$B$6)*('Hypothèses'!$C$40/100)/(1+('Hypothèses'!$C$40/100)),Bilan!$B$40*'Hypothèses'!$C$37/(1+('Hypothèses'!$C$40/100))))</f>
        <v>0.24005691708596</v>
      </c>
      <c r="H10" s="13">
        <f>((IF('Hypothèses'!$C$42&gt;=0.5,Bilan!$B$40*'Hypothèses'!$C$38-(Bilan!$B$40*'Hypothèses'!$C$38-Bilan!$B$6)*('Hypothèses'!$C$40/100)/(1+('Hypothèses'!$C$40/100)),Bilan!$B$40*'Hypothèses'!$C$38/(1+('Hypothèses'!$C$40/100)))-Bilan!$C$25-Bilan!$B$34)-MAX(0,(IF('Hypothèses'!$C$42&gt;=0.5,Bilan!$B$40*'Hypothèses'!$C$38-(Bilan!$B$40*'Hypothèses'!$C$38-Bilan!$B$6)*('Hypothèses'!$C$40/100)/(1+('Hypothèses'!$C$40/100)),Bilan!$B$40*'Hypothèses'!$C$38/(1+('Hypothèses'!$C$40/100)))-Bilan!$C$25-Bilan!$B$34)*('Hypothèses'!$C$71/100)))/(IF('Hypothèses'!$C$42&gt;=0.5,Bilan!$B$40*'Hypothèses'!$C$38-(Bilan!$B$40*'Hypothèses'!$C$38-Bilan!$B$6)*('Hypothèses'!$C$40/100)/(1+('Hypothèses'!$C$40/100)),Bilan!$B$40*'Hypothèses'!$C$38/(1+('Hypothèses'!$C$40/100))))</f>
        <v>0.31580691132548</v>
      </c>
      <c r="I10" s="13">
        <f>((IF('Hypothèses'!$C$42&gt;=0.5,Bilan!$B$40*'Hypothèses'!$C$39-(Bilan!$B$40*'Hypothèses'!$C$39-Bilan!$B$6)*('Hypothèses'!$C$40/100)/(1+('Hypothèses'!$C$40/100)),Bilan!$B$40*'Hypothèses'!$C$39/(1+('Hypothèses'!$C$40/100)))-Bilan!$C$25-Bilan!$B$34)-MAX(0,(IF('Hypothèses'!$C$42&gt;=0.5,Bilan!$B$40*'Hypothèses'!$C$39-(Bilan!$B$40*'Hypothèses'!$C$39-Bilan!$B$6)*('Hypothèses'!$C$40/100)/(1+('Hypothèses'!$C$40/100)),Bilan!$B$40*'Hypothèses'!$C$39/(1+('Hypothèses'!$C$40/100)))-Bilan!$C$25-Bilan!$B$34)*('Hypothèses'!$C$71/100)))/(IF('Hypothèses'!$C$42&gt;=0.5,Bilan!$B$40*'Hypothèses'!$C$39-(Bilan!$B$40*'Hypothèses'!$C$39-Bilan!$B$6)*('Hypothèses'!$C$40/100)/(1+('Hypothèses'!$C$40/100)),Bilan!$B$40*'Hypothèses'!$C$39/(1+('Hypothèses'!$C$40/100))))</f>
        <v>0.40109157484829</v>
      </c>
      <c r="J10" s="10">
        <f>((1-('Hypothèses'!$C$71/100))*((Bilan!$B$40*'Hypothèses'!$C$37/(1+('Hypothèses'!$C$40/100)))-(Bilan!$C$25-Bilan!$C$6)-'Hypothèses'!$C$68-'Sensibilité'!$B$16*(Bilan!$B$25-Bilan!$B$6))-('Hypothèses'!$C$33/100)*(Bilan!$B$40*'Hypothèses'!$C$37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2823132.47339293267578</v>
      </c>
      <c r="K10" s="10">
        <f>((1-('Hypothèses'!$C$71/100))*((Bilan!$B$40*'Hypothèses'!$C$38/(1+('Hypothèses'!$C$40/100)))-(Bilan!$C$25-Bilan!$C$6)-'Hypothèses'!$C$68-'Sensibilité'!$B$16*(Bilan!$B$25-Bilan!$B$6))-('Hypothèses'!$C$33/100)*(Bilan!$B$40*'Hypothèses'!$C$38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3881017.53086419822648</v>
      </c>
      <c r="L10" s="10">
        <f>((1-('Hypothèses'!$C$71/100))*((Bilan!$B$40*'Hypothèses'!$C$39/(1+('Hypothèses'!$C$40/100)))-(Bilan!$C$25-Bilan!$C$6)-'Hypothèses'!$C$68-'Sensibilité'!$B$16*(Bilan!$B$25-Bilan!$B$6))-('Hypothèses'!$C$33/100)*(Bilan!$B$40*'Hypothèses'!$C$39/(1+('Hypothèses'!$C$40/100))))/((1-('Hypothèses'!$C$71/100))*(1+'Sensibilité'!$B$16-IF('Hypothèses'!$C$42&gt;=0.5,('Hypothèses'!$C$40/100)/(1+('Hypothèses'!$C$40/100)),0))+('Hypothèses'!$C$33/100)*IF('Hypothèses'!$C$42&gt;=0.5,('Hypothèses'!$C$40/100)/(1+('Hypothèses'!$C$40/100)),0))</f>
        <v>5621770.19157088175416</v>
      </c>
      <c r="M10">
        <f>IF(OR(B10="Improbable",B10="Impossible"),-1E+15,IF(ISNUMBER(E10),E10,-1E+15))</f>
        <v>3301887.3175000003539</v>
      </c>
    </row>
    <row r="11" spans="1:13" customHeight="1" ht="62">
      <c r="A11" t="s">
        <v>272</v>
      </c>
      <c r="B11" t="s">
        <v>263</v>
      </c>
      <c r="C11" s="7" t="s">
        <v>273</v>
      </c>
      <c r="D11" t="s">
        <v>265</v>
      </c>
      <c r="M11">
        <f>IF(OR(B11="Improbable",B11="Impossible"),-1E+15,IF(ISNUMBER(E11),E11,-1E+15))</f>
        <v>-1.0E+15</v>
      </c>
    </row>
    <row r="13" spans="1:13">
      <c r="A13" s="1" t="s">
        <v>274</v>
      </c>
      <c r="B13" s="1"/>
      <c r="C13" s="1"/>
      <c r="D13" s="1" t="str">
        <f>INDEX(A5:A11,MATCH(MAX(M5:M11),M5:M11,0))</f>
        <v>Démolition-reconstruction (neuf)</v>
      </c>
    </row>
    <row r="15" spans="1:13">
      <c r="A15" t="s">
        <v>276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257</v>
      </c>
    </row>
    <row r="2" spans="1:12" customHeight="1" ht="48">
      <c r="A2" s="7" t="s">
        <v>277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284</v>
      </c>
      <c r="B6" t="s">
        <v>42</v>
      </c>
      <c r="C6" t="s">
        <v>285</v>
      </c>
      <c r="D6" s="11">
        <f>'Hypothèses'!$C$13</f>
        <v>0</v>
      </c>
      <c r="E6" s="12">
        <f>'Hypothèses'!$C$9</f>
        <v>8340</v>
      </c>
      <c r="F6" s="12">
        <f>D6*E6</f>
        <v>0</v>
      </c>
      <c r="G6" s="11">
        <f>'Hypothèses'!$C$13</f>
        <v>0</v>
      </c>
      <c r="H6" s="12">
        <f>'Hypothèses'!$C$10</f>
        <v>11650</v>
      </c>
      <c r="I6" s="12">
        <f>G6*H6</f>
        <v>0</v>
      </c>
      <c r="J6" s="11">
        <f>'Hypothèses'!$C$13</f>
        <v>0</v>
      </c>
      <c r="K6" s="12">
        <f>'Hypothèses'!$C$11</f>
        <v>13500</v>
      </c>
      <c r="L6" s="12">
        <f>J6*K6</f>
        <v>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1970000</v>
      </c>
      <c r="F7" s="10">
        <f>D7*E7</f>
        <v>1970000</v>
      </c>
      <c r="G7" s="9">
        <f>1</f>
        <v>1</v>
      </c>
      <c r="H7" s="10">
        <f>'Hypothèses'!$C$6</f>
        <v>1970000</v>
      </c>
      <c r="I7" s="10">
        <f>G7*H7</f>
        <v>1970000</v>
      </c>
      <c r="J7" s="9">
        <f>1</f>
        <v>1</v>
      </c>
      <c r="K7" s="10">
        <f>'Hypothèses'!$C$6</f>
        <v>1970000</v>
      </c>
      <c r="L7" s="10">
        <f>J7*K7</f>
        <v>1970000</v>
      </c>
    </row>
    <row r="8" spans="1:12">
      <c r="A8" t="s">
        <v>289</v>
      </c>
      <c r="B8" t="s">
        <v>27</v>
      </c>
      <c r="C8" t="s">
        <v>290</v>
      </c>
      <c r="D8" s="10">
        <f>F7</f>
        <v>1970000</v>
      </c>
      <c r="E8" s="13">
        <f>'Hypothèses'!$C$7/100</f>
        <v>0.08</v>
      </c>
      <c r="F8" s="10">
        <f>D8*E8</f>
        <v>157600</v>
      </c>
      <c r="G8" s="10">
        <f>I7</f>
        <v>1970000</v>
      </c>
      <c r="H8" s="13">
        <f>'Hypothèses'!$C$7/100</f>
        <v>0.08</v>
      </c>
      <c r="I8" s="10">
        <f>G8*H8</f>
        <v>157600</v>
      </c>
      <c r="J8" s="10">
        <f>L7</f>
        <v>1970000</v>
      </c>
      <c r="K8" s="13">
        <f>'Hypothèses'!$C$7/100</f>
        <v>0.08</v>
      </c>
      <c r="L8" s="10">
        <f>J8*K8</f>
        <v>157600</v>
      </c>
    </row>
    <row r="9" spans="1:12">
      <c r="A9" t="s">
        <v>291</v>
      </c>
      <c r="B9" t="s">
        <v>42</v>
      </c>
      <c r="C9" t="s">
        <v>292</v>
      </c>
      <c r="D9" s="9">
        <f>'Hypothèses'!$C$13</f>
        <v>0</v>
      </c>
      <c r="E9" s="10">
        <f>'Hypothèses'!$C$17</f>
        <v>1500</v>
      </c>
      <c r="F9" s="10">
        <f>D9*E9</f>
        <v>0</v>
      </c>
      <c r="G9" s="9">
        <f>'Hypothèses'!$C$13</f>
        <v>0</v>
      </c>
      <c r="H9" s="10">
        <f>'Hypothèses'!$C$17</f>
        <v>1500</v>
      </c>
      <c r="I9" s="10">
        <f>G9*H9</f>
        <v>0</v>
      </c>
      <c r="J9" s="9">
        <f>'Hypothèses'!$C$13</f>
        <v>0</v>
      </c>
      <c r="K9" s="10">
        <f>'Hypothèses'!$C$17</f>
        <v>1500</v>
      </c>
      <c r="L9" s="10">
        <f>J9*K9</f>
        <v>0</v>
      </c>
    </row>
    <row r="10" spans="1:12">
      <c r="A10" t="s">
        <v>293</v>
      </c>
      <c r="B10" t="s">
        <v>27</v>
      </c>
      <c r="C10" t="s">
        <v>294</v>
      </c>
      <c r="D10" s="10">
        <f>F9</f>
        <v>0</v>
      </c>
      <c r="E10" s="13">
        <f>'Hypothèses'!$C$23/100</f>
        <v>0.06</v>
      </c>
      <c r="F10" s="10">
        <f>D10*E10</f>
        <v>0</v>
      </c>
      <c r="G10" s="10">
        <f>I9</f>
        <v>0</v>
      </c>
      <c r="H10" s="13">
        <f>'Hypothèses'!$C$23/100</f>
        <v>0.06</v>
      </c>
      <c r="I10" s="10">
        <f>G10*H10</f>
        <v>0</v>
      </c>
      <c r="J10" s="10">
        <f>L9</f>
        <v>0</v>
      </c>
      <c r="K10" s="13">
        <f>'Hypothèses'!$C$23/100</f>
        <v>0.06</v>
      </c>
      <c r="L10" s="10">
        <f>J10*K10</f>
        <v>0</v>
      </c>
    </row>
    <row r="11" spans="1:12">
      <c r="A11" t="s">
        <v>66</v>
      </c>
      <c r="B11" t="s">
        <v>27</v>
      </c>
      <c r="C11" t="s">
        <v>294</v>
      </c>
      <c r="D11" s="10">
        <f>F9</f>
        <v>0</v>
      </c>
      <c r="E11" s="13">
        <f>'Hypothèses'!$C$26/100</f>
        <v>0.03</v>
      </c>
      <c r="F11" s="10">
        <f>D11*E11</f>
        <v>0</v>
      </c>
      <c r="G11" s="10">
        <f>I9</f>
        <v>0</v>
      </c>
      <c r="H11" s="13">
        <f>'Hypothèses'!$C$26/100</f>
        <v>0.03</v>
      </c>
      <c r="I11" s="10">
        <f>G11*H11</f>
        <v>0</v>
      </c>
      <c r="J11" s="10">
        <f>L9</f>
        <v>0</v>
      </c>
      <c r="K11" s="13">
        <f>'Hypothèses'!$C$26/100</f>
        <v>0.03</v>
      </c>
      <c r="L11" s="10">
        <f>J11*K11</f>
        <v>0</v>
      </c>
    </row>
    <row r="12" spans="1:12">
      <c r="A12" t="s">
        <v>67</v>
      </c>
      <c r="B12" t="s">
        <v>27</v>
      </c>
      <c r="C12" t="s">
        <v>294</v>
      </c>
      <c r="D12" s="10">
        <f>F9</f>
        <v>0</v>
      </c>
      <c r="E12" s="13">
        <f>'Hypothèses'!$C$27/100</f>
        <v>0.1</v>
      </c>
      <c r="F12" s="10">
        <f>D12*E12</f>
        <v>0</v>
      </c>
      <c r="G12" s="10">
        <f>I9</f>
        <v>0</v>
      </c>
      <c r="H12" s="13">
        <f>'Hypothèses'!$C$27/100</f>
        <v>0.1</v>
      </c>
      <c r="I12" s="10">
        <f>G12*H12</f>
        <v>0</v>
      </c>
      <c r="J12" s="10">
        <f>L9</f>
        <v>0</v>
      </c>
      <c r="K12" s="13">
        <f>'Hypothèses'!$C$27/100</f>
        <v>0.1</v>
      </c>
      <c r="L12" s="10">
        <f>J12*K12</f>
        <v>0</v>
      </c>
    </row>
    <row r="13" spans="1:12">
      <c r="A13" t="s">
        <v>295</v>
      </c>
      <c r="B13" t="s">
        <v>27</v>
      </c>
      <c r="C13" t="s">
        <v>296</v>
      </c>
      <c r="D13" s="10">
        <f>F7+F8+0.5*(F9+F10+F11+F12)</f>
        <v>2127600</v>
      </c>
      <c r="E13" s="13">
        <f>'Hypothèses'!$C$30/100*'Hypothèses'!$C$31/12</f>
        <v>0.05</v>
      </c>
      <c r="F13" s="10">
        <f>D13*E13</f>
        <v>106380</v>
      </c>
      <c r="G13" s="10">
        <f>I7+I8+0.5*(I9+I10+I11+I12)</f>
        <v>2127600</v>
      </c>
      <c r="H13" s="13">
        <f>'Hypothèses'!$C$30/100*'Hypothèses'!$C$31/12</f>
        <v>0.05</v>
      </c>
      <c r="I13" s="10">
        <f>G13*H13</f>
        <v>106380</v>
      </c>
      <c r="J13" s="10">
        <f>L7+L8+0.5*(L9+L10+L11+L12)</f>
        <v>2127600</v>
      </c>
      <c r="K13" s="13">
        <f>'Hypothèses'!$C$30/100*'Hypothèses'!$C$31/12</f>
        <v>0.05</v>
      </c>
      <c r="L13" s="10">
        <f>J13*K13</f>
        <v>106380</v>
      </c>
    </row>
    <row r="14" spans="1:12">
      <c r="A14" t="s">
        <v>69</v>
      </c>
      <c r="B14" t="s">
        <v>27</v>
      </c>
      <c r="C14" t="s">
        <v>297</v>
      </c>
      <c r="D14" s="10">
        <f>F6</f>
        <v>0</v>
      </c>
      <c r="E14" s="13">
        <f>'Hypothèses'!$C$28/100</f>
        <v>0.03</v>
      </c>
      <c r="F14" s="10">
        <f>D14*E14</f>
        <v>0</v>
      </c>
      <c r="G14" s="10">
        <f>I6</f>
        <v>0</v>
      </c>
      <c r="H14" s="13">
        <f>'Hypothèses'!$C$28/100</f>
        <v>0.03</v>
      </c>
      <c r="I14" s="10">
        <f>G14*H14</f>
        <v>0</v>
      </c>
      <c r="J14" s="10">
        <f>L6</f>
        <v>0</v>
      </c>
      <c r="K14" s="13">
        <f>'Hypothèses'!$C$28/100</f>
        <v>0.03</v>
      </c>
      <c r="L14" s="10">
        <f>J14*K14</f>
        <v>0</v>
      </c>
    </row>
    <row r="16" spans="1:12">
      <c r="A16" s="15" t="s">
        <v>298</v>
      </c>
      <c r="B16" s="16"/>
      <c r="C16" s="16"/>
      <c r="D16" s="16"/>
      <c r="E16" s="16"/>
      <c r="F16" s="17">
        <f>F7+F8+F9+F10+F11+F12+F13+F14</f>
        <v>2233980</v>
      </c>
      <c r="G16" s="16"/>
      <c r="H16" s="16"/>
      <c r="I16" s="17">
        <f>I7+I8+I9+I10+I11+I12+I13+I14</f>
        <v>2233980</v>
      </c>
      <c r="J16" s="16"/>
      <c r="K16" s="16"/>
      <c r="L16" s="17">
        <f>L7+L8+L9+L10+L11+L12+L13+L14</f>
        <v>2233980</v>
      </c>
    </row>
    <row r="17" spans="1:12">
      <c r="A17" s="1" t="s">
        <v>299</v>
      </c>
      <c r="F17" s="10">
        <f>F6-(F7+F8+F9+F10+F11+F12)</f>
        <v>-2127600</v>
      </c>
      <c r="I17" s="10">
        <f>I6-(I7+I8+I9+I10+I11+I12)</f>
        <v>-2127600</v>
      </c>
      <c r="L17" s="10">
        <f>L6-(L7+L8+L9+L10+L11+L12)</f>
        <v>-2127600</v>
      </c>
    </row>
    <row r="18" spans="1:12">
      <c r="A18" s="1" t="s">
        <v>251</v>
      </c>
      <c r="F18" s="12">
        <f>F6-F16</f>
        <v>-2233980</v>
      </c>
      <c r="I18" s="12">
        <f>I6-I16</f>
        <v>-2233980</v>
      </c>
      <c r="L18" s="12">
        <f>L6-L16</f>
        <v>-2233980</v>
      </c>
    </row>
    <row r="19" spans="1:12">
      <c r="A19" s="1" t="s">
        <v>300</v>
      </c>
      <c r="F19" s="14" t="e">
        <f>F18/F6</f>
        <v>#DIV/0!</v>
      </c>
      <c r="I19" s="14" t="e">
        <f>I18/I6</f>
        <v>#DIV/0!</v>
      </c>
      <c r="L19" s="14" t="e">
        <f>L18/L6</f>
        <v>#DIV/0!</v>
      </c>
    </row>
    <row r="20" spans="1:12">
      <c r="A20" s="1" t="s">
        <v>301</v>
      </c>
      <c r="F20" s="10">
        <f>F7+(F18-'Hypothèses'!$C$33/100*F6)/((1+'Hypothèses'!$C$7/100)*(1+'Hypothèses'!$C$30/100*'Hypothèses'!$C$31/12))</f>
        <v>2.3283064365387E-10</v>
      </c>
      <c r="I20" s="10">
        <f>I7+(I18-'Hypothèses'!$C$33/100*I6)/((1+'Hypothèses'!$C$7/100)*(1+'Hypothèses'!$C$30/100*'Hypothèses'!$C$31/12))</f>
        <v>2.3283064365387E-10</v>
      </c>
      <c r="L20" s="10">
        <f>L7+(L18-'Hypothèses'!$C$33/100*L6)/((1+'Hypothèses'!$C$7/100)*(1+'Hypothèses'!$C$30/100*'Hypothèses'!$C$31/12))</f>
        <v>2.3283064365387E-10</v>
      </c>
    </row>
    <row r="21" spans="1:12">
      <c r="A21" s="1" t="s">
        <v>302</v>
      </c>
      <c r="F21" s="13">
        <f>F20/F7-1</f>
        <v>-1</v>
      </c>
      <c r="I21" s="13">
        <f>I20/I7-1</f>
        <v>-1</v>
      </c>
      <c r="L21" s="13">
        <f>L20/L7-1</f>
        <v>-1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45</v>
      </c>
    </row>
    <row r="2" spans="1:12" customHeight="1" ht="48">
      <c r="A2" s="7" t="s">
        <v>303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304</v>
      </c>
      <c r="B6" t="s">
        <v>42</v>
      </c>
      <c r="C6" t="s">
        <v>305</v>
      </c>
      <c r="D6" s="11">
        <f>'Hypothèses'!$C$13+'Hypothèses'!$C$15</f>
        <v>865</v>
      </c>
      <c r="E6" s="12">
        <f>'Hypothèses'!$C$9</f>
        <v>8340</v>
      </c>
      <c r="F6" s="12">
        <f>D6*E6</f>
        <v>7214100</v>
      </c>
      <c r="G6" s="11">
        <f>'Hypothèses'!$C$13+'Hypothèses'!$C$15</f>
        <v>865</v>
      </c>
      <c r="H6" s="12">
        <f>'Hypothèses'!$C$10</f>
        <v>11650</v>
      </c>
      <c r="I6" s="12">
        <f>G6*H6</f>
        <v>10077250</v>
      </c>
      <c r="J6" s="11">
        <f>'Hypothèses'!$C$13+'Hypothèses'!$C$15</f>
        <v>865</v>
      </c>
      <c r="K6" s="12">
        <f>'Hypothèses'!$C$11</f>
        <v>13500</v>
      </c>
      <c r="L6" s="12">
        <f>J6*K6</f>
        <v>11677500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1970000</v>
      </c>
      <c r="F7" s="10">
        <f>D7*E7</f>
        <v>1970000</v>
      </c>
      <c r="G7" s="9">
        <f>1</f>
        <v>1</v>
      </c>
      <c r="H7" s="10">
        <f>'Hypothèses'!$C$6</f>
        <v>1970000</v>
      </c>
      <c r="I7" s="10">
        <f>G7*H7</f>
        <v>1970000</v>
      </c>
      <c r="J7" s="9">
        <f>1</f>
        <v>1</v>
      </c>
      <c r="K7" s="10">
        <f>'Hypothèses'!$C$6</f>
        <v>1970000</v>
      </c>
      <c r="L7" s="10">
        <f>J7*K7</f>
        <v>1970000</v>
      </c>
    </row>
    <row r="8" spans="1:12">
      <c r="A8" t="s">
        <v>289</v>
      </c>
      <c r="B8" t="s">
        <v>27</v>
      </c>
      <c r="C8" t="s">
        <v>290</v>
      </c>
      <c r="D8" s="10">
        <f>F7</f>
        <v>1970000</v>
      </c>
      <c r="E8" s="13">
        <f>'Hypothèses'!$C$7/100</f>
        <v>0.08</v>
      </c>
      <c r="F8" s="10">
        <f>D8*E8</f>
        <v>157600</v>
      </c>
      <c r="G8" s="10">
        <f>I7</f>
        <v>1970000</v>
      </c>
      <c r="H8" s="13">
        <f>'Hypothèses'!$C$7/100</f>
        <v>0.08</v>
      </c>
      <c r="I8" s="10">
        <f>G8*H8</f>
        <v>157600</v>
      </c>
      <c r="J8" s="10">
        <f>L7</f>
        <v>1970000</v>
      </c>
      <c r="K8" s="13">
        <f>'Hypothèses'!$C$7/100</f>
        <v>0.08</v>
      </c>
      <c r="L8" s="10">
        <f>J8*K8</f>
        <v>157600</v>
      </c>
    </row>
    <row r="9" spans="1:12">
      <c r="A9" t="s">
        <v>306</v>
      </c>
      <c r="B9" t="s">
        <v>42</v>
      </c>
      <c r="C9" t="s">
        <v>307</v>
      </c>
      <c r="D9" s="9">
        <f>'Hypothèses'!$C$15</f>
        <v>865</v>
      </c>
      <c r="E9" s="10">
        <f>'Hypothèses'!$C$18</f>
        <v>4000</v>
      </c>
      <c r="F9" s="10">
        <f>D9*E9</f>
        <v>3460000</v>
      </c>
      <c r="G9" s="9">
        <f>'Hypothèses'!$C$15</f>
        <v>865</v>
      </c>
      <c r="H9" s="10">
        <f>'Hypothèses'!$C$18</f>
        <v>4000</v>
      </c>
      <c r="I9" s="10">
        <f>G9*H9</f>
        <v>3460000</v>
      </c>
      <c r="J9" s="9">
        <f>'Hypothèses'!$C$15</f>
        <v>865</v>
      </c>
      <c r="K9" s="10">
        <f>'Hypothèses'!$C$18</f>
        <v>4000</v>
      </c>
      <c r="L9" s="10">
        <f>J9*K9</f>
        <v>3460000</v>
      </c>
    </row>
    <row r="10" spans="1:12">
      <c r="A10" t="s">
        <v>308</v>
      </c>
      <c r="B10" t="s">
        <v>42</v>
      </c>
      <c r="C10" t="s">
        <v>309</v>
      </c>
      <c r="D10" s="9">
        <f>'Hypothèses'!$C$15</f>
        <v>865</v>
      </c>
      <c r="E10" s="10">
        <f>'Hypothèses'!$C$19</f>
        <v>300</v>
      </c>
      <c r="F10" s="10">
        <f>D10*E10</f>
        <v>259500</v>
      </c>
      <c r="G10" s="9">
        <f>'Hypothèses'!$C$15</f>
        <v>865</v>
      </c>
      <c r="H10" s="10">
        <f>'Hypothèses'!$C$19</f>
        <v>300</v>
      </c>
      <c r="I10" s="10">
        <f>G10*H10</f>
        <v>259500</v>
      </c>
      <c r="J10" s="9">
        <f>'Hypothèses'!$C$15</f>
        <v>865</v>
      </c>
      <c r="K10" s="10">
        <f>'Hypothèses'!$C$19</f>
        <v>300</v>
      </c>
      <c r="L10" s="10">
        <f>J10*K10</f>
        <v>259500</v>
      </c>
    </row>
    <row r="11" spans="1:12">
      <c r="A11" t="s">
        <v>56</v>
      </c>
      <c r="B11" t="s">
        <v>27</v>
      </c>
      <c r="C11" t="s">
        <v>294</v>
      </c>
      <c r="D11" s="10">
        <f>F9</f>
        <v>3460000</v>
      </c>
      <c r="E11" s="13">
        <f>'Hypothèses'!$C$21/100</f>
        <v>0.08</v>
      </c>
      <c r="F11" s="10">
        <f>D11*E11</f>
        <v>276800</v>
      </c>
      <c r="G11" s="10">
        <f>I9</f>
        <v>3460000</v>
      </c>
      <c r="H11" s="13">
        <f>'Hypothèses'!$C$21/100</f>
        <v>0.08</v>
      </c>
      <c r="I11" s="10">
        <f>G11*H11</f>
        <v>276800</v>
      </c>
      <c r="J11" s="10">
        <f>L9</f>
        <v>3460000</v>
      </c>
      <c r="K11" s="13">
        <f>'Hypothèses'!$C$21/100</f>
        <v>0.08</v>
      </c>
      <c r="L11" s="10">
        <f>J11*K11</f>
        <v>276800</v>
      </c>
    </row>
    <row r="12" spans="1:12">
      <c r="A12" t="s">
        <v>310</v>
      </c>
      <c r="B12" t="s">
        <v>27</v>
      </c>
      <c r="C12" t="s">
        <v>311</v>
      </c>
      <c r="D12" s="10">
        <f>F9+F10+F11</f>
        <v>3996300</v>
      </c>
      <c r="E12" s="13">
        <f>'Hypothèses'!$C$22/100</f>
        <v>0.12</v>
      </c>
      <c r="F12" s="10">
        <f>D12*E12</f>
        <v>479556</v>
      </c>
      <c r="G12" s="10">
        <f>I9+I10+I11</f>
        <v>3996300</v>
      </c>
      <c r="H12" s="13">
        <f>'Hypothèses'!$C$22/100</f>
        <v>0.12</v>
      </c>
      <c r="I12" s="10">
        <f>G12*H12</f>
        <v>479556</v>
      </c>
      <c r="J12" s="10">
        <f>L9+L10+L11</f>
        <v>3996300</v>
      </c>
      <c r="K12" s="13">
        <f>'Hypothèses'!$C$22/100</f>
        <v>0.12</v>
      </c>
      <c r="L12" s="10">
        <f>J12*K12</f>
        <v>479556</v>
      </c>
    </row>
    <row r="13" spans="1:12">
      <c r="A13" t="s">
        <v>128</v>
      </c>
      <c r="B13" t="s">
        <v>42</v>
      </c>
      <c r="C13" t="s">
        <v>312</v>
      </c>
      <c r="D13" s="9">
        <f>'Hypothèses'!$C$15</f>
        <v>865</v>
      </c>
      <c r="E13" s="10">
        <f>'Hypothèses'!$C$24*'Hypothèses'!$C$25/100</f>
        <v>75</v>
      </c>
      <c r="F13" s="10">
        <f>D13*E13</f>
        <v>64875</v>
      </c>
      <c r="G13" s="9">
        <f>'Hypothèses'!$C$15</f>
        <v>865</v>
      </c>
      <c r="H13" s="10">
        <f>'Hypothèses'!$C$24*'Hypothèses'!$C$25/100</f>
        <v>75</v>
      </c>
      <c r="I13" s="10">
        <f>G13*H13</f>
        <v>64875</v>
      </c>
      <c r="J13" s="9">
        <f>'Hypothèses'!$C$15</f>
        <v>865</v>
      </c>
      <c r="K13" s="10">
        <f>'Hypothèses'!$C$24*'Hypothèses'!$C$25/100</f>
        <v>75</v>
      </c>
      <c r="L13" s="10">
        <f>J13*K13</f>
        <v>64875</v>
      </c>
    </row>
    <row r="14" spans="1:12">
      <c r="A14" t="s">
        <v>66</v>
      </c>
      <c r="B14" t="s">
        <v>27</v>
      </c>
      <c r="C14" t="s">
        <v>294</v>
      </c>
      <c r="D14" s="10">
        <f>F9+F10</f>
        <v>3719500</v>
      </c>
      <c r="E14" s="13">
        <f>'Hypothèses'!$C$26/100</f>
        <v>0.03</v>
      </c>
      <c r="F14" s="10">
        <f>D14*E14</f>
        <v>111585</v>
      </c>
      <c r="G14" s="10">
        <f>I9+I10</f>
        <v>3719500</v>
      </c>
      <c r="H14" s="13">
        <f>'Hypothèses'!$C$26/100</f>
        <v>0.03</v>
      </c>
      <c r="I14" s="10">
        <f>G14*H14</f>
        <v>111585</v>
      </c>
      <c r="J14" s="10">
        <f>L9+L10</f>
        <v>3719500</v>
      </c>
      <c r="K14" s="13">
        <f>'Hypothèses'!$C$26/100</f>
        <v>0.03</v>
      </c>
      <c r="L14" s="10">
        <f>J14*K14</f>
        <v>111585</v>
      </c>
    </row>
    <row r="15" spans="1:12">
      <c r="A15" t="s">
        <v>67</v>
      </c>
      <c r="B15" t="s">
        <v>27</v>
      </c>
      <c r="C15" t="s">
        <v>294</v>
      </c>
      <c r="D15" s="10">
        <f>F9+F10+F11</f>
        <v>3996300</v>
      </c>
      <c r="E15" s="13">
        <f>'Hypothèses'!$C$27/100</f>
        <v>0.1</v>
      </c>
      <c r="F15" s="10">
        <f>D15*E15</f>
        <v>399630</v>
      </c>
      <c r="G15" s="10">
        <f>I9+I10+I11</f>
        <v>3996300</v>
      </c>
      <c r="H15" s="13">
        <f>'Hypothèses'!$C$27/100</f>
        <v>0.1</v>
      </c>
      <c r="I15" s="10">
        <f>G15*H15</f>
        <v>399630</v>
      </c>
      <c r="J15" s="10">
        <f>L9+L10+L11</f>
        <v>3996300</v>
      </c>
      <c r="K15" s="13">
        <f>'Hypothèses'!$C$27/100</f>
        <v>0.1</v>
      </c>
      <c r="L15" s="10">
        <f>J15*K15</f>
        <v>399630</v>
      </c>
    </row>
    <row r="16" spans="1:12">
      <c r="A16" t="s">
        <v>295</v>
      </c>
      <c r="B16" t="s">
        <v>27</v>
      </c>
      <c r="C16" t="s">
        <v>296</v>
      </c>
      <c r="D16" s="10">
        <f>F7+F8+0.5*(F9+F10+F11+F12+F14+F15)</f>
        <v>4621135.5</v>
      </c>
      <c r="E16" s="13">
        <f>'Hypothèses'!$C$30/100*'Hypothèses'!$C$32/12</f>
        <v>0.083333333333333</v>
      </c>
      <c r="F16" s="10">
        <f>D16*E16</f>
        <v>385094.625</v>
      </c>
      <c r="G16" s="10">
        <f>I7+I8+0.5*(I9+I10+I11+I12+I14+I15)</f>
        <v>4621135.5</v>
      </c>
      <c r="H16" s="13">
        <f>'Hypothèses'!$C$30/100*'Hypothèses'!$C$32/12</f>
        <v>0.083333333333333</v>
      </c>
      <c r="I16" s="10">
        <f>G16*H16</f>
        <v>385094.625</v>
      </c>
      <c r="J16" s="10">
        <f>L7+L8+0.5*(L9+L10+L11+L12+L14+L15)</f>
        <v>4621135.5</v>
      </c>
      <c r="K16" s="13">
        <f>'Hypothèses'!$C$30/100*'Hypothèses'!$C$32/12</f>
        <v>0.083333333333333</v>
      </c>
      <c r="L16" s="10">
        <f>J16*K16</f>
        <v>385094.625</v>
      </c>
    </row>
    <row r="17" spans="1:12">
      <c r="A17" t="s">
        <v>69</v>
      </c>
      <c r="B17" t="s">
        <v>27</v>
      </c>
      <c r="C17" t="s">
        <v>297</v>
      </c>
      <c r="D17" s="10">
        <f>F6</f>
        <v>7214100</v>
      </c>
      <c r="E17" s="13">
        <f>'Hypothèses'!$C$28/100</f>
        <v>0.03</v>
      </c>
      <c r="F17" s="10">
        <f>D17*E17</f>
        <v>216423</v>
      </c>
      <c r="G17" s="10">
        <f>I6</f>
        <v>10077250</v>
      </c>
      <c r="H17" s="13">
        <f>'Hypothèses'!$C$28/100</f>
        <v>0.03</v>
      </c>
      <c r="I17" s="10">
        <f>G17*H17</f>
        <v>302317.5</v>
      </c>
      <c r="J17" s="10">
        <f>L6</f>
        <v>11677500</v>
      </c>
      <c r="K17" s="13">
        <f>'Hypothèses'!$C$28/100</f>
        <v>0.03</v>
      </c>
      <c r="L17" s="10">
        <f>J17*K17</f>
        <v>350325</v>
      </c>
    </row>
    <row r="19" spans="1:12">
      <c r="A19" s="15" t="s">
        <v>298</v>
      </c>
      <c r="B19" s="16"/>
      <c r="C19" s="16"/>
      <c r="D19" s="16"/>
      <c r="E19" s="16"/>
      <c r="F19" s="17">
        <f>F7+F8+F9+F10+F11+F12+F13+F14+F15+F16+F17</f>
        <v>7781063.625</v>
      </c>
      <c r="G19" s="16"/>
      <c r="H19" s="16"/>
      <c r="I19" s="17">
        <f>I7+I8+I9+I10+I11+I12+I13+I14+I15+I16+I17</f>
        <v>7866958.125</v>
      </c>
      <c r="J19" s="16"/>
      <c r="K19" s="16"/>
      <c r="L19" s="17">
        <f>L7+L8+L9+L10+L11+L12+L13+L14+L15+L16+L17</f>
        <v>7914965.625</v>
      </c>
    </row>
    <row r="20" spans="1:12">
      <c r="A20" s="1" t="s">
        <v>299</v>
      </c>
      <c r="F20" s="10">
        <f>F6-(F7+F8+F9+F10+F11+F12+F13+F14+F15)</f>
        <v>34554</v>
      </c>
      <c r="I20" s="10">
        <f>I6-(I7+I8+I9+I10+I11+I12+I13+I14+I15)</f>
        <v>2897704</v>
      </c>
      <c r="L20" s="10">
        <f>L6-(L7+L8+L9+L10+L11+L12+L13+L14+L15)</f>
        <v>4497954</v>
      </c>
    </row>
    <row r="21" spans="1:12">
      <c r="A21" s="1" t="s">
        <v>251</v>
      </c>
      <c r="F21" s="12">
        <f>F6-F19</f>
        <v>-566963.625</v>
      </c>
      <c r="I21" s="12">
        <f>I6-I19</f>
        <v>2210291.875</v>
      </c>
      <c r="L21" s="12">
        <f>L6-L19</f>
        <v>3762534.375</v>
      </c>
    </row>
    <row r="22" spans="1:12">
      <c r="A22" s="1" t="s">
        <v>300</v>
      </c>
      <c r="F22" s="14">
        <f>F21/F6</f>
        <v>-0.078591040462428</v>
      </c>
      <c r="I22" s="14">
        <f>I21/I6</f>
        <v>0.21933482596939</v>
      </c>
      <c r="L22" s="14">
        <f>L21/L6</f>
        <v>0.32220375722543</v>
      </c>
    </row>
    <row r="23" spans="1:12">
      <c r="A23" s="1" t="s">
        <v>301</v>
      </c>
      <c r="F23" s="10">
        <f>F7+(F21-'Hypothèses'!$C$33/100*F6)/((1+'Hypothèses'!$C$7/100)*(1+'Hypothèses'!$C$30/100*'Hypothèses'!$C$32/12))</f>
        <v>560531.08974358974956</v>
      </c>
      <c r="I23" s="10">
        <f>I7+(I21-'Hypothèses'!$C$33/100*I6)/((1+'Hypothèses'!$C$7/100)*(1+'Hypothèses'!$C$30/100*'Hypothèses'!$C$32/12))</f>
        <v>2567183.22649572649971</v>
      </c>
      <c r="L23" s="10">
        <f>L7+(L21-'Hypothèses'!$C$33/100*L6)/((1+'Hypothèses'!$C$7/100)*(1+'Hypothèses'!$C$30/100*'Hypothèses'!$C$32/12))</f>
        <v>3688725.9615384619683</v>
      </c>
    </row>
    <row r="24" spans="1:12">
      <c r="A24" s="1" t="s">
        <v>302</v>
      </c>
      <c r="F24" s="13">
        <f>F23/F7-1</f>
        <v>-0.71546645190681</v>
      </c>
      <c r="I24" s="13">
        <f>I23/I7-1</f>
        <v>0.30313869365265</v>
      </c>
      <c r="L24" s="13">
        <f>L23/L7-1</f>
        <v>0.87244972666927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266</v>
      </c>
    </row>
    <row r="2" spans="1:12" customHeight="1" ht="48">
      <c r="A2" s="7" t="s">
        <v>313</v>
      </c>
    </row>
    <row r="3" spans="1:12">
      <c r="D3" t="s">
        <v>279</v>
      </c>
      <c r="E3" s="8">
        <f>'Hypothèses'!$C$9</f>
        <v>8340</v>
      </c>
      <c r="G3" t="s">
        <v>279</v>
      </c>
      <c r="H3" s="8">
        <f>'Hypothèses'!$C$10</f>
        <v>11650</v>
      </c>
      <c r="J3" t="s">
        <v>279</v>
      </c>
      <c r="K3" s="8">
        <f>'Hypothèses'!$C$11</f>
        <v>13500</v>
      </c>
    </row>
    <row r="4" spans="1:12">
      <c r="A4" s="3" t="s">
        <v>21</v>
      </c>
      <c r="B4" s="3" t="s">
        <v>22</v>
      </c>
      <c r="C4" s="3" t="s">
        <v>24</v>
      </c>
      <c r="D4" s="3" t="s">
        <v>278</v>
      </c>
      <c r="E4" s="3"/>
      <c r="F4" s="3"/>
      <c r="G4" s="3" t="s">
        <v>282</v>
      </c>
      <c r="H4" s="3"/>
      <c r="I4" s="3"/>
      <c r="J4" s="3" t="s">
        <v>283</v>
      </c>
      <c r="K4" s="3"/>
      <c r="L4" s="3"/>
    </row>
    <row r="5" spans="1:12">
      <c r="A5" s="3"/>
      <c r="B5" s="3"/>
      <c r="C5" s="3"/>
      <c r="D5" s="3" t="s">
        <v>280</v>
      </c>
      <c r="E5" s="3" t="s">
        <v>281</v>
      </c>
      <c r="F5" s="3" t="s">
        <v>188</v>
      </c>
      <c r="G5" s="3" t="s">
        <v>280</v>
      </c>
      <c r="H5" s="3" t="s">
        <v>281</v>
      </c>
      <c r="I5" s="3" t="s">
        <v>188</v>
      </c>
      <c r="J5" s="3" t="s">
        <v>280</v>
      </c>
      <c r="K5" s="3" t="s">
        <v>281</v>
      </c>
      <c r="L5" s="3" t="s">
        <v>188</v>
      </c>
    </row>
    <row r="6" spans="1:12">
      <c r="A6" t="s">
        <v>314</v>
      </c>
      <c r="B6" t="s">
        <v>42</v>
      </c>
      <c r="C6" t="s">
        <v>315</v>
      </c>
      <c r="D6" s="11">
        <f>'Hypothèses'!$C$13+'Hypothèses'!$C$14</f>
        <v>80</v>
      </c>
      <c r="E6" s="12">
        <f>'Hypothèses'!$C$9</f>
        <v>8340</v>
      </c>
      <c r="F6" s="12">
        <f>D6*E6</f>
        <v>667200</v>
      </c>
      <c r="G6" s="11">
        <f>'Hypothèses'!$C$13+'Hypothèses'!$C$14</f>
        <v>80</v>
      </c>
      <c r="H6" s="12">
        <f>'Hypothèses'!$C$10</f>
        <v>11650</v>
      </c>
      <c r="I6" s="12">
        <f>G6*H6</f>
        <v>932000</v>
      </c>
      <c r="J6" s="11">
        <f>'Hypothèses'!$C$13+'Hypothèses'!$C$14</f>
        <v>80</v>
      </c>
      <c r="K6" s="12">
        <f>'Hypothèses'!$C$11</f>
        <v>13500</v>
      </c>
      <c r="L6" s="12">
        <f>J6*K6</f>
        <v>1080000</v>
      </c>
    </row>
    <row r="7" spans="1:12">
      <c r="A7" t="s">
        <v>286</v>
      </c>
      <c r="B7" t="s">
        <v>287</v>
      </c>
      <c r="C7" t="s">
        <v>288</v>
      </c>
      <c r="D7" s="9">
        <f>1</f>
        <v>1</v>
      </c>
      <c r="E7" s="10">
        <f>'Hypothèses'!$C$6</f>
        <v>1970000</v>
      </c>
      <c r="F7" s="10">
        <f>D7*E7</f>
        <v>1970000</v>
      </c>
      <c r="G7" s="9">
        <f>1</f>
        <v>1</v>
      </c>
      <c r="H7" s="10">
        <f>'Hypothèses'!$C$6</f>
        <v>1970000</v>
      </c>
      <c r="I7" s="10">
        <f>G7*H7</f>
        <v>1970000</v>
      </c>
      <c r="J7" s="9">
        <f>1</f>
        <v>1</v>
      </c>
      <c r="K7" s="10">
        <f>'Hypothèses'!$C$6</f>
        <v>1970000</v>
      </c>
      <c r="L7" s="10">
        <f>J7*K7</f>
        <v>1970000</v>
      </c>
    </row>
    <row r="8" spans="1:12">
      <c r="A8" t="s">
        <v>289</v>
      </c>
      <c r="B8" t="s">
        <v>27</v>
      </c>
      <c r="C8" t="s">
        <v>290</v>
      </c>
      <c r="D8" s="10">
        <f>F7</f>
        <v>1970000</v>
      </c>
      <c r="E8" s="13">
        <f>'Hypothèses'!$C$7/100</f>
        <v>0.08</v>
      </c>
      <c r="F8" s="10">
        <f>D8*E8</f>
        <v>157600</v>
      </c>
      <c r="G8" s="10">
        <f>I7</f>
        <v>1970000</v>
      </c>
      <c r="H8" s="13">
        <f>'Hypothèses'!$C$7/100</f>
        <v>0.08</v>
      </c>
      <c r="I8" s="10">
        <f>G8*H8</f>
        <v>157600</v>
      </c>
      <c r="J8" s="10">
        <f>L7</f>
        <v>1970000</v>
      </c>
      <c r="K8" s="13">
        <f>'Hypothèses'!$C$7/100</f>
        <v>0.08</v>
      </c>
      <c r="L8" s="10">
        <f>J8*K8</f>
        <v>157600</v>
      </c>
    </row>
    <row r="9" spans="1:12">
      <c r="A9" t="s">
        <v>316</v>
      </c>
      <c r="B9" t="s">
        <v>42</v>
      </c>
      <c r="C9" t="s">
        <v>292</v>
      </c>
      <c r="D9" s="9">
        <f>'Hypothèses'!$C$13</f>
        <v>0</v>
      </c>
      <c r="E9" s="10">
        <f>'Hypothèses'!$C$17</f>
        <v>1500</v>
      </c>
      <c r="F9" s="10">
        <f>D9*E9</f>
        <v>0</v>
      </c>
      <c r="G9" s="9">
        <f>'Hypothèses'!$C$13</f>
        <v>0</v>
      </c>
      <c r="H9" s="10">
        <f>'Hypothèses'!$C$17</f>
        <v>1500</v>
      </c>
      <c r="I9" s="10">
        <f>G9*H9</f>
        <v>0</v>
      </c>
      <c r="J9" s="9">
        <f>'Hypothèses'!$C$13</f>
        <v>0</v>
      </c>
      <c r="K9" s="10">
        <f>'Hypothèses'!$C$17</f>
        <v>1500</v>
      </c>
      <c r="L9" s="10">
        <f>J9*K9</f>
        <v>0</v>
      </c>
    </row>
    <row r="10" spans="1:12">
      <c r="A10" t="s">
        <v>306</v>
      </c>
      <c r="B10" t="s">
        <v>42</v>
      </c>
      <c r="C10" t="s">
        <v>307</v>
      </c>
      <c r="D10" s="9">
        <f>'Hypothèses'!$C$14</f>
        <v>80</v>
      </c>
      <c r="E10" s="10">
        <f>'Hypothèses'!$C$18</f>
        <v>4000</v>
      </c>
      <c r="F10" s="10">
        <f>D10*E10</f>
        <v>320000</v>
      </c>
      <c r="G10" s="9">
        <f>'Hypothèses'!$C$14</f>
        <v>80</v>
      </c>
      <c r="H10" s="10">
        <f>'Hypothèses'!$C$18</f>
        <v>4000</v>
      </c>
      <c r="I10" s="10">
        <f>G10*H10</f>
        <v>320000</v>
      </c>
      <c r="J10" s="9">
        <f>'Hypothèses'!$C$14</f>
        <v>80</v>
      </c>
      <c r="K10" s="10">
        <f>'Hypothèses'!$C$18</f>
        <v>4000</v>
      </c>
      <c r="L10" s="10">
        <f>J10*K10</f>
        <v>320000</v>
      </c>
    </row>
    <row r="11" spans="1:12">
      <c r="A11" t="s">
        <v>308</v>
      </c>
      <c r="B11" t="s">
        <v>42</v>
      </c>
      <c r="C11" t="s">
        <v>309</v>
      </c>
      <c r="D11" s="9">
        <f>'Hypothèses'!$C$14</f>
        <v>80</v>
      </c>
      <c r="E11" s="10">
        <f>'Hypothèses'!$C$19</f>
        <v>300</v>
      </c>
      <c r="F11" s="10">
        <f>D11*E11</f>
        <v>24000</v>
      </c>
      <c r="G11" s="9">
        <f>'Hypothèses'!$C$14</f>
        <v>80</v>
      </c>
      <c r="H11" s="10">
        <f>'Hypothèses'!$C$19</f>
        <v>300</v>
      </c>
      <c r="I11" s="10">
        <f>G11*H11</f>
        <v>24000</v>
      </c>
      <c r="J11" s="9">
        <f>'Hypothèses'!$C$14</f>
        <v>80</v>
      </c>
      <c r="K11" s="10">
        <f>'Hypothèses'!$C$19</f>
        <v>300</v>
      </c>
      <c r="L11" s="10">
        <f>J11*K11</f>
        <v>24000</v>
      </c>
    </row>
    <row r="12" spans="1:12">
      <c r="A12" t="s">
        <v>56</v>
      </c>
      <c r="B12" t="s">
        <v>27</v>
      </c>
      <c r="C12" t="s">
        <v>317</v>
      </c>
      <c r="D12" s="10">
        <f>F10</f>
        <v>320000</v>
      </c>
      <c r="E12" s="13">
        <f>'Hypothèses'!$C$21/100</f>
        <v>0.08</v>
      </c>
      <c r="F12" s="10">
        <f>D12*E12</f>
        <v>25600</v>
      </c>
      <c r="G12" s="10">
        <f>I10</f>
        <v>320000</v>
      </c>
      <c r="H12" s="13">
        <f>'Hypothèses'!$C$21/100</f>
        <v>0.08</v>
      </c>
      <c r="I12" s="10">
        <f>G12*H12</f>
        <v>25600</v>
      </c>
      <c r="J12" s="10">
        <f>L10</f>
        <v>320000</v>
      </c>
      <c r="K12" s="13">
        <f>'Hypothèses'!$C$21/100</f>
        <v>0.08</v>
      </c>
      <c r="L12" s="10">
        <f>J12*K12</f>
        <v>25600</v>
      </c>
    </row>
    <row r="13" spans="1:12">
      <c r="A13" t="s">
        <v>310</v>
      </c>
      <c r="B13" t="s">
        <v>27</v>
      </c>
      <c r="C13" t="s">
        <v>318</v>
      </c>
      <c r="D13" s="10">
        <f>F9+F10+F11+F12</f>
        <v>369600</v>
      </c>
      <c r="E13" s="13">
        <f>'Hypothèses'!$C$22/100</f>
        <v>0.12</v>
      </c>
      <c r="F13" s="10">
        <f>D13*E13</f>
        <v>44352</v>
      </c>
      <c r="G13" s="10">
        <f>I9+I10+I11+I12</f>
        <v>369600</v>
      </c>
      <c r="H13" s="13">
        <f>'Hypothèses'!$C$22/100</f>
        <v>0.12</v>
      </c>
      <c r="I13" s="10">
        <f>G13*H13</f>
        <v>44352</v>
      </c>
      <c r="J13" s="10">
        <f>L9+L10+L11+L12</f>
        <v>369600</v>
      </c>
      <c r="K13" s="13">
        <f>'Hypothèses'!$C$22/100</f>
        <v>0.12</v>
      </c>
      <c r="L13" s="10">
        <f>J13*K13</f>
        <v>44352</v>
      </c>
    </row>
    <row r="14" spans="1:12">
      <c r="A14" t="s">
        <v>128</v>
      </c>
      <c r="B14" t="s">
        <v>42</v>
      </c>
      <c r="C14" t="s">
        <v>312</v>
      </c>
      <c r="D14" s="9">
        <f>'Hypothèses'!$C$14</f>
        <v>80</v>
      </c>
      <c r="E14" s="10">
        <f>'Hypothèses'!$C$24*'Hypothèses'!$C$25/100</f>
        <v>75</v>
      </c>
      <c r="F14" s="10">
        <f>D14*E14</f>
        <v>6000</v>
      </c>
      <c r="G14" s="9">
        <f>'Hypothèses'!$C$14</f>
        <v>80</v>
      </c>
      <c r="H14" s="10">
        <f>'Hypothèses'!$C$24*'Hypothèses'!$C$25/100</f>
        <v>75</v>
      </c>
      <c r="I14" s="10">
        <f>G14*H14</f>
        <v>6000</v>
      </c>
      <c r="J14" s="9">
        <f>'Hypothèses'!$C$14</f>
        <v>80</v>
      </c>
      <c r="K14" s="10">
        <f>'Hypothèses'!$C$24*'Hypothèses'!$C$25/100</f>
        <v>75</v>
      </c>
      <c r="L14" s="10">
        <f>J14*K14</f>
        <v>6000</v>
      </c>
    </row>
    <row r="15" spans="1:12">
      <c r="A15" t="s">
        <v>66</v>
      </c>
      <c r="B15" t="s">
        <v>27</v>
      </c>
      <c r="C15" t="s">
        <v>294</v>
      </c>
      <c r="D15" s="10">
        <f>F9+F10+F11</f>
        <v>344000</v>
      </c>
      <c r="E15" s="13">
        <f>'Hypothèses'!$C$26/100</f>
        <v>0.03</v>
      </c>
      <c r="F15" s="10">
        <f>D15*E15</f>
        <v>10320</v>
      </c>
      <c r="G15" s="10">
        <f>I9+I10+I11</f>
        <v>344000</v>
      </c>
      <c r="H15" s="13">
        <f>'Hypothèses'!$C$26/100</f>
        <v>0.03</v>
      </c>
      <c r="I15" s="10">
        <f>G15*H15</f>
        <v>10320</v>
      </c>
      <c r="J15" s="10">
        <f>L9+L10+L11</f>
        <v>344000</v>
      </c>
      <c r="K15" s="13">
        <f>'Hypothèses'!$C$26/100</f>
        <v>0.03</v>
      </c>
      <c r="L15" s="10">
        <f>J15*K15</f>
        <v>10320</v>
      </c>
    </row>
    <row r="16" spans="1:12">
      <c r="A16" t="s">
        <v>67</v>
      </c>
      <c r="B16" t="s">
        <v>27</v>
      </c>
      <c r="C16" t="s">
        <v>294</v>
      </c>
      <c r="D16" s="10">
        <f>F9+F10+F11+F12</f>
        <v>369600</v>
      </c>
      <c r="E16" s="13">
        <f>'Hypothèses'!$C$27/100</f>
        <v>0.1</v>
      </c>
      <c r="F16" s="10">
        <f>D16*E16</f>
        <v>36960</v>
      </c>
      <c r="G16" s="10">
        <f>I9+I10+I11+I12</f>
        <v>369600</v>
      </c>
      <c r="H16" s="13">
        <f>'Hypothèses'!$C$27/100</f>
        <v>0.1</v>
      </c>
      <c r="I16" s="10">
        <f>G16*H16</f>
        <v>36960</v>
      </c>
      <c r="J16" s="10">
        <f>L9+L10+L11+L12</f>
        <v>369600</v>
      </c>
      <c r="K16" s="13">
        <f>'Hypothèses'!$C$27/100</f>
        <v>0.1</v>
      </c>
      <c r="L16" s="10">
        <f>J16*K16</f>
        <v>36960</v>
      </c>
    </row>
    <row r="17" spans="1:12">
      <c r="A17" t="s">
        <v>295</v>
      </c>
      <c r="B17" t="s">
        <v>27</v>
      </c>
      <c r="C17" t="s">
        <v>296</v>
      </c>
      <c r="D17" s="10">
        <f>F7+F8+0.5*(F9+F10+F11+F12+F13+F15+F16)</f>
        <v>2358216</v>
      </c>
      <c r="E17" s="13">
        <f>'Hypothèses'!$C$30/100*'Hypothèses'!$C$32/12</f>
        <v>0.083333333333333</v>
      </c>
      <c r="F17" s="10">
        <f>D17*E17</f>
        <v>196518</v>
      </c>
      <c r="G17" s="10">
        <f>I7+I8+0.5*(I9+I10+I11+I12+I13+I15+I16)</f>
        <v>2358216</v>
      </c>
      <c r="H17" s="13">
        <f>'Hypothèses'!$C$30/100*'Hypothèses'!$C$32/12</f>
        <v>0.083333333333333</v>
      </c>
      <c r="I17" s="10">
        <f>G17*H17</f>
        <v>196518</v>
      </c>
      <c r="J17" s="10">
        <f>L7+L8+0.5*(L9+L10+L11+L12+L13+L15+L16)</f>
        <v>2358216</v>
      </c>
      <c r="K17" s="13">
        <f>'Hypothèses'!$C$30/100*'Hypothèses'!$C$32/12</f>
        <v>0.083333333333333</v>
      </c>
      <c r="L17" s="10">
        <f>J17*K17</f>
        <v>196518</v>
      </c>
    </row>
    <row r="18" spans="1:12">
      <c r="A18" t="s">
        <v>69</v>
      </c>
      <c r="B18" t="s">
        <v>27</v>
      </c>
      <c r="C18" t="s">
        <v>297</v>
      </c>
      <c r="D18" s="10">
        <f>F6</f>
        <v>667200</v>
      </c>
      <c r="E18" s="13">
        <f>'Hypothèses'!$C$28/100</f>
        <v>0.03</v>
      </c>
      <c r="F18" s="10">
        <f>D18*E18</f>
        <v>20016</v>
      </c>
      <c r="G18" s="10">
        <f>I6</f>
        <v>932000</v>
      </c>
      <c r="H18" s="13">
        <f>'Hypothèses'!$C$28/100</f>
        <v>0.03</v>
      </c>
      <c r="I18" s="10">
        <f>G18*H18</f>
        <v>27960</v>
      </c>
      <c r="J18" s="10">
        <f>L6</f>
        <v>1080000</v>
      </c>
      <c r="K18" s="13">
        <f>'Hypothèses'!$C$28/100</f>
        <v>0.03</v>
      </c>
      <c r="L18" s="10">
        <f>J18*K18</f>
        <v>32400</v>
      </c>
    </row>
    <row r="20" spans="1:12">
      <c r="A20" s="15" t="s">
        <v>298</v>
      </c>
      <c r="B20" s="16"/>
      <c r="C20" s="16"/>
      <c r="D20" s="16"/>
      <c r="E20" s="16"/>
      <c r="F20" s="17">
        <f>F7+F8+F9+F10+F11+F12+F13+F14+F15+F16+F17+F18</f>
        <v>2811366</v>
      </c>
      <c r="G20" s="16"/>
      <c r="H20" s="16"/>
      <c r="I20" s="17">
        <f>I7+I8+I9+I10+I11+I12+I13+I14+I15+I16+I17+I18</f>
        <v>2819310</v>
      </c>
      <c r="J20" s="16"/>
      <c r="K20" s="16"/>
      <c r="L20" s="17">
        <f>L7+L8+L9+L10+L11+L12+L13+L14+L15+L16+L17+L18</f>
        <v>2823750</v>
      </c>
    </row>
    <row r="21" spans="1:12">
      <c r="A21" s="1" t="s">
        <v>299</v>
      </c>
      <c r="F21" s="10">
        <f>F6-(F7+F8+F9+F10+F11+F12+F13+F14+F15+F16)</f>
        <v>-1927632</v>
      </c>
      <c r="I21" s="10">
        <f>I6-(I7+I8+I9+I10+I11+I12+I13+I14+I15+I16)</f>
        <v>-1662832</v>
      </c>
      <c r="L21" s="10">
        <f>L6-(L7+L8+L9+L10+L11+L12+L13+L14+L15+L16)</f>
        <v>-1514832</v>
      </c>
    </row>
    <row r="22" spans="1:12">
      <c r="A22" s="1" t="s">
        <v>251</v>
      </c>
      <c r="F22" s="12">
        <f>F6-F20</f>
        <v>-2144166</v>
      </c>
      <c r="I22" s="12">
        <f>I6-I20</f>
        <v>-1887310</v>
      </c>
      <c r="L22" s="12">
        <f>L6-L20</f>
        <v>-1743750</v>
      </c>
    </row>
    <row r="23" spans="1:12">
      <c r="A23" s="1" t="s">
        <v>300</v>
      </c>
      <c r="F23" s="14">
        <f>F22/F6</f>
        <v>-3.21367805755396</v>
      </c>
      <c r="I23" s="14">
        <f>I22/I6</f>
        <v>-2.025010729613734</v>
      </c>
      <c r="L23" s="14">
        <f>L22/L6</f>
        <v>-1.61458333333333</v>
      </c>
    </row>
    <row r="24" spans="1:12">
      <c r="A24" s="1" t="s">
        <v>301</v>
      </c>
      <c r="F24" s="10">
        <f>F7+(F22-'Hypothèses'!$C$33/100*F6)/((1+'Hypothèses'!$C$7/100)*(1+'Hypothèses'!$C$30/100*'Hypothèses'!$C$32/12))</f>
        <v>51841.025641025509685</v>
      </c>
      <c r="I24" s="10">
        <f>I7+(I22-'Hypothèses'!$C$33/100*I6)/((1+'Hypothèses'!$C$7/100)*(1+'Hypothèses'!$C$30/100*'Hypothèses'!$C$32/12))</f>
        <v>237427.35042735026218</v>
      </c>
      <c r="L24" s="10">
        <f>L7+(L22-'Hypothèses'!$C$33/100*L6)/((1+'Hypothèses'!$C$7/100)*(1+'Hypothèses'!$C$30/100*'Hypothèses'!$C$32/12))</f>
        <v>341153.84615384601057</v>
      </c>
    </row>
    <row r="25" spans="1:12">
      <c r="A25" s="1" t="s">
        <v>302</v>
      </c>
      <c r="F25" s="13">
        <f>F24/F7-1</f>
        <v>-0.97368475855786</v>
      </c>
      <c r="I25" s="13">
        <f>I24/I7-1</f>
        <v>-0.87947850232114</v>
      </c>
      <c r="L25" s="13">
        <f>L24/L7-1</f>
        <v>-0.82682545880515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Synthèse</vt:lpstr>
      <vt:lpstr>Hypothèses</vt:lpstr>
      <vt:lpstr>Bilan</vt:lpstr>
      <vt:lpstr>Trésorerie</vt:lpstr>
      <vt:lpstr>Sensibilité</vt:lpstr>
      <vt:lpstr>Comparatif</vt:lpstr>
      <vt:lpstr>Rénover-revendre</vt:lpstr>
      <vt:lpstr>Extension max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2026-10-23T12:28:40+00:00</dcterms:created>
  <dcterms:modified xsi:type="dcterms:W3CDTF">2026-10-23T12:28:40+00:00</dcterms:modified>
  <dc:title>Untitled Spreadsheet</dc:title>
  <dc:description/>
  <dc:subject/>
  <cp:keywords/>
  <cp:category/>
</cp:coreProperties>
</file>